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285" windowWidth="13170" windowHeight="12465"/>
  </bookViews>
  <sheets>
    <sheet name="Plan1" sheetId="1" r:id="rId1"/>
    <sheet name="Plan3" sheetId="3" r:id="rId2"/>
  </sheets>
  <definedNames>
    <definedName name="_xlnm.Print_Area" localSheetId="0">Plan1!$A$1:$G$183</definedName>
    <definedName name="Print_Area_1">Plan1!$B$9:$G$178</definedName>
  </definedNames>
  <calcPr calcId="145621"/>
</workbook>
</file>

<file path=xl/calcChain.xml><?xml version="1.0" encoding="utf-8"?>
<calcChain xmlns="http://schemas.openxmlformats.org/spreadsheetml/2006/main">
  <c r="G172" i="1" l="1"/>
  <c r="G140" i="1"/>
  <c r="G122" i="1"/>
  <c r="G92" i="1"/>
  <c r="G70" i="1"/>
  <c r="G66" i="1"/>
  <c r="G27" i="1"/>
  <c r="G18" i="1"/>
  <c r="G121" i="1" l="1"/>
  <c r="G139" i="1" l="1"/>
  <c r="G138" i="1" l="1"/>
  <c r="G137" i="1"/>
  <c r="G136" i="1"/>
  <c r="G135" i="1"/>
  <c r="G134" i="1"/>
  <c r="G133" i="1"/>
  <c r="G132" i="1"/>
  <c r="G131" i="1"/>
  <c r="G130" i="1"/>
  <c r="G129" i="1"/>
  <c r="G128" i="1"/>
  <c r="G127" i="1"/>
  <c r="E127" i="1"/>
  <c r="G126" i="1"/>
  <c r="G125" i="1"/>
  <c r="E60" i="1" l="1"/>
  <c r="E56" i="1"/>
  <c r="G57" i="1"/>
  <c r="G56" i="1" l="1"/>
  <c r="G175" i="1"/>
  <c r="G176" i="1" s="1"/>
  <c r="G88" i="1"/>
  <c r="G65" i="1"/>
  <c r="E171" i="1" l="1"/>
  <c r="E109" i="1" l="1"/>
  <c r="E62" i="1"/>
  <c r="K13" i="3"/>
  <c r="K9" i="3"/>
  <c r="E87" i="1" l="1"/>
  <c r="E164" i="1"/>
  <c r="E75" i="1"/>
  <c r="E59" i="1" l="1"/>
  <c r="E74" i="1"/>
  <c r="G61" i="1"/>
  <c r="E64" i="1"/>
  <c r="E63" i="1"/>
  <c r="E46" i="1"/>
  <c r="G40" i="1"/>
  <c r="E45" i="1"/>
  <c r="E41" i="1"/>
  <c r="G171" i="1"/>
  <c r="G165" i="1" l="1"/>
  <c r="G163" i="1"/>
  <c r="G164" i="1"/>
  <c r="G162" i="1" l="1"/>
  <c r="E161" i="1"/>
  <c r="G161" i="1" s="1"/>
  <c r="G160" i="1"/>
  <c r="E159" i="1"/>
  <c r="G159" i="1" s="1"/>
  <c r="G96" i="1" l="1"/>
  <c r="G98" i="1"/>
  <c r="G102" i="1"/>
  <c r="G103" i="1"/>
  <c r="G104" i="1"/>
  <c r="G105" i="1"/>
  <c r="G106" i="1"/>
  <c r="G108" i="1"/>
  <c r="G109" i="1"/>
  <c r="G110" i="1"/>
  <c r="G111" i="1"/>
  <c r="G112" i="1"/>
  <c r="G113" i="1"/>
  <c r="G114" i="1"/>
  <c r="G115" i="1"/>
  <c r="G116" i="1"/>
  <c r="G117" i="1"/>
  <c r="G118" i="1"/>
  <c r="G119" i="1"/>
  <c r="G120" i="1"/>
  <c r="G143" i="1"/>
  <c r="G144" i="1"/>
  <c r="G145" i="1"/>
  <c r="G146" i="1"/>
  <c r="G148" i="1"/>
  <c r="G149" i="1"/>
  <c r="G150" i="1"/>
  <c r="G153" i="1"/>
  <c r="G166" i="1" s="1"/>
  <c r="G155" i="1"/>
  <c r="G156" i="1"/>
  <c r="G157" i="1"/>
  <c r="G158" i="1"/>
  <c r="G41" i="1"/>
  <c r="G42" i="1"/>
  <c r="G43" i="1"/>
  <c r="E107" i="1" l="1"/>
  <c r="E99" i="1"/>
  <c r="E101" i="1"/>
  <c r="E100" i="1"/>
  <c r="E97" i="1"/>
  <c r="E95" i="1"/>
  <c r="G95" i="1" l="1"/>
  <c r="G100" i="1"/>
  <c r="G101" i="1"/>
  <c r="G99" i="1"/>
  <c r="G97" i="1"/>
  <c r="G107" i="1"/>
  <c r="E154" i="1"/>
  <c r="G154" i="1" s="1"/>
  <c r="E152" i="1"/>
  <c r="G152" i="1" s="1"/>
  <c r="E151" i="1"/>
  <c r="G151" i="1" s="1"/>
  <c r="E147" i="1"/>
  <c r="G147" i="1" s="1"/>
  <c r="G76" i="1" l="1"/>
  <c r="G82" i="1" l="1"/>
  <c r="G83" i="1" s="1"/>
  <c r="G81" i="1"/>
  <c r="G78" i="1"/>
  <c r="G170" i="1"/>
  <c r="G169" i="1"/>
  <c r="G89" i="1" l="1"/>
  <c r="G90" i="1"/>
  <c r="G91" i="1"/>
  <c r="G86" i="1" l="1"/>
  <c r="G87" i="1"/>
  <c r="G80" i="1"/>
  <c r="G79" i="1"/>
  <c r="G73" i="1"/>
  <c r="G74" i="1"/>
  <c r="G75" i="1"/>
  <c r="G77" i="1"/>
  <c r="G69" i="1" l="1"/>
  <c r="E39" i="1" l="1"/>
  <c r="E38" i="1" l="1"/>
  <c r="G64" i="1"/>
  <c r="G63" i="1"/>
  <c r="G55" i="1"/>
  <c r="G58" i="1"/>
  <c r="G59" i="1"/>
  <c r="G60" i="1"/>
  <c r="G62" i="1"/>
  <c r="G52" i="1"/>
  <c r="G51" i="1"/>
  <c r="G50" i="1" l="1"/>
  <c r="G49" i="1"/>
  <c r="G48" i="1"/>
  <c r="E34" i="1"/>
  <c r="G46" i="1"/>
  <c r="E47" i="1"/>
  <c r="G44" i="1"/>
  <c r="G45" i="1"/>
  <c r="G35" i="1"/>
  <c r="G38" i="1"/>
  <c r="E37" i="1"/>
  <c r="G36" i="1"/>
  <c r="E30" i="1"/>
  <c r="G32" i="1"/>
  <c r="G33" i="1"/>
  <c r="G31" i="1"/>
  <c r="G47" i="1" l="1"/>
  <c r="G37" i="1"/>
  <c r="G30" i="1"/>
  <c r="E53" i="1"/>
  <c r="G34" i="1"/>
  <c r="G39" i="1"/>
  <c r="G14" i="1" l="1"/>
  <c r="G15" i="1"/>
  <c r="G16" i="1"/>
  <c r="G17" i="1"/>
  <c r="G53" i="1" l="1"/>
  <c r="G21" i="1" l="1"/>
  <c r="E54" i="1" l="1"/>
  <c r="G54" i="1" l="1"/>
  <c r="E26" i="1"/>
  <c r="G22" i="1"/>
  <c r="E25" i="1" l="1"/>
  <c r="G25" i="1" s="1"/>
  <c r="G26" i="1"/>
  <c r="G13" i="1" l="1"/>
  <c r="G178" i="1" l="1"/>
  <c r="G181" i="1" s="1"/>
</calcChain>
</file>

<file path=xl/sharedStrings.xml><?xml version="1.0" encoding="utf-8"?>
<sst xmlns="http://schemas.openxmlformats.org/spreadsheetml/2006/main" count="606" uniqueCount="457">
  <si>
    <t>CÓDIGO</t>
  </si>
  <si>
    <t>DESCRIÇÃO</t>
  </si>
  <si>
    <t>UN</t>
  </si>
  <si>
    <t>QUANT</t>
  </si>
  <si>
    <t>$ UNIT</t>
  </si>
  <si>
    <t>$ TOTAL</t>
  </si>
  <si>
    <t>Categoria 01: Serviços de Escritório - Projetos</t>
  </si>
  <si>
    <t>m²</t>
  </si>
  <si>
    <t>Total da categoria 01:</t>
  </si>
  <si>
    <t>m³</t>
  </si>
  <si>
    <t>un</t>
  </si>
  <si>
    <t>Total da categoria 05:</t>
  </si>
  <si>
    <t>Total da categoria 12:</t>
  </si>
  <si>
    <t>m</t>
  </si>
  <si>
    <t>Todas as categorias:</t>
  </si>
  <si>
    <t>BDI:</t>
  </si>
  <si>
    <t>h</t>
  </si>
  <si>
    <t>Total do orçamento:</t>
  </si>
  <si>
    <t>Total da categoria 04:</t>
  </si>
  <si>
    <t>Categoria 02: Canteiro de Obra</t>
  </si>
  <si>
    <t>Total da categoria 02:</t>
  </si>
  <si>
    <t xml:space="preserve"> m²</t>
  </si>
  <si>
    <t>PROCURADORIA GERAL DO ESTADO DO RIO DE JANEIRO</t>
  </si>
  <si>
    <t>ITEM</t>
  </si>
  <si>
    <t>01.01</t>
  </si>
  <si>
    <t>01.02</t>
  </si>
  <si>
    <t>01.03</t>
  </si>
  <si>
    <t>01.05</t>
  </si>
  <si>
    <t>02.01</t>
  </si>
  <si>
    <t>04.01</t>
  </si>
  <si>
    <t>04.02</t>
  </si>
  <si>
    <t>05.01</t>
  </si>
  <si>
    <t>COORDENADORIA DE ARQUITETURA, PROJETOS E OBRAS</t>
  </si>
  <si>
    <r>
      <rPr>
        <b/>
        <sz val="12"/>
        <color rgb="FF000000"/>
        <rFont val="Arial"/>
        <family val="2"/>
      </rPr>
      <t>OBRA:</t>
    </r>
    <r>
      <rPr>
        <sz val="12"/>
        <color rgb="FF000000"/>
        <rFont val="Arial"/>
        <family val="2"/>
      </rPr>
      <t xml:space="preserve"> Ampliação da Sede da PGE no Distrito Federal</t>
    </r>
  </si>
  <si>
    <t>Projeto executivo de arquitetura acima de 400m²</t>
  </si>
  <si>
    <t>Projeto executivo de instalação de incêndio até 750m²</t>
  </si>
  <si>
    <t>SBC 000031</t>
  </si>
  <si>
    <t>SBC 000504</t>
  </si>
  <si>
    <t>SBC 000069</t>
  </si>
  <si>
    <t>SBC 000067</t>
  </si>
  <si>
    <t>SBC 000073</t>
  </si>
  <si>
    <t>BASE:</t>
  </si>
  <si>
    <t>SBC 016500</t>
  </si>
  <si>
    <t>Placa de responsabilidade técnica em obras</t>
  </si>
  <si>
    <t>SINAPI      MOVT 72897</t>
  </si>
  <si>
    <r>
      <t>Carga manual de entulho em caminhão basculante 6m</t>
    </r>
    <r>
      <rPr>
        <vertAlign val="superscript"/>
        <sz val="12"/>
        <color rgb="FF000000"/>
        <rFont val="Arial"/>
        <family val="2"/>
      </rPr>
      <t>3</t>
    </r>
  </si>
  <si>
    <t>SINAPI        MOVT 72881</t>
  </si>
  <si>
    <r>
      <t>Transporte local com caminhão basculante 6m</t>
    </r>
    <r>
      <rPr>
        <vertAlign val="superscript"/>
        <sz val="12"/>
        <color rgb="FF000000"/>
        <rFont val="Arial"/>
        <family val="2"/>
      </rPr>
      <t>3</t>
    </r>
    <r>
      <rPr>
        <sz val="12"/>
        <color rgb="FF000000"/>
        <rFont val="Arial"/>
        <family val="2"/>
      </rPr>
      <t>, rodovia pavimentada (para distâncias superiores a 4 km )</t>
    </r>
  </si>
  <si>
    <r>
      <t>m</t>
    </r>
    <r>
      <rPr>
        <vertAlign val="superscript"/>
        <sz val="12"/>
        <color rgb="FF000000"/>
        <rFont val="Arial"/>
        <family val="2"/>
      </rPr>
      <t>3</t>
    </r>
  </si>
  <si>
    <r>
      <t>m</t>
    </r>
    <r>
      <rPr>
        <vertAlign val="superscript"/>
        <sz val="12"/>
        <color rgb="FF000000"/>
        <rFont val="Arial"/>
        <family val="2"/>
      </rPr>
      <t xml:space="preserve">3 </t>
    </r>
    <r>
      <rPr>
        <sz val="12"/>
        <color rgb="FF000000"/>
        <rFont val="Arial"/>
        <family val="2"/>
      </rPr>
      <t>x km</t>
    </r>
  </si>
  <si>
    <t>SBC JUL/16</t>
  </si>
  <si>
    <t>SINAPI          SERP 85367</t>
  </si>
  <si>
    <t>Demolição de piso em ladrilho com argamassa</t>
  </si>
  <si>
    <t>SINAPI          SERP 85371</t>
  </si>
  <si>
    <t>Remoção de piso em carpete</t>
  </si>
  <si>
    <t>SBC 022090</t>
  </si>
  <si>
    <t>Retirada piso elevado</t>
  </si>
  <si>
    <t>Desmontagem e remoção de painéis de divisórias em madeira (painel em madeira hall sala 301)</t>
  </si>
  <si>
    <t>Demolição de camada de assentamento/contrapiso com uso de ponteiro, espessura até 4cm</t>
  </si>
  <si>
    <t>SINAPI      SERP 73801/002</t>
  </si>
  <si>
    <t>Demolição de piso de mármore e argamassa de assentamento</t>
  </si>
  <si>
    <t>SINAPI      SERP 73895/001</t>
  </si>
  <si>
    <t>SINAPI      SERT 85378</t>
  </si>
  <si>
    <t>SINAPI      SERP 73616</t>
  </si>
  <si>
    <t>Demolição de concreto simples</t>
  </si>
  <si>
    <t>SINAPI      SERP 85421</t>
  </si>
  <si>
    <t>Remoção de vidro comum (espelho IS Fem sala 301)</t>
  </si>
  <si>
    <t>SINAPI        PINT 72125</t>
  </si>
  <si>
    <t>Remoção de pintura PVA/Acrílica</t>
  </si>
  <si>
    <t>SINAPI         PARE 72178</t>
  </si>
  <si>
    <t>Retirada de divisórias em chapas de madeira, com montantes metálicos</t>
  </si>
  <si>
    <t>SINAPI     SERP 85372</t>
  </si>
  <si>
    <t>Demolição de forro de gesso</t>
  </si>
  <si>
    <t>SBC 023075</t>
  </si>
  <si>
    <t xml:space="preserve">Revestimentos - remontagem de forro removível tipo pacote </t>
  </si>
  <si>
    <t xml:space="preserve">Revestimentos - desmontagem  de forro removível tipo pacote </t>
  </si>
  <si>
    <t>SINAPI     SERP 72242</t>
  </si>
  <si>
    <t>Retirada de rodapés de madeira, inclusive retirada de cordão</t>
  </si>
  <si>
    <t>SINAPI     SERP 85408</t>
  </si>
  <si>
    <t>Remoção de peitoril em mármore ou granito</t>
  </si>
  <si>
    <t>SINAPI        ESQV 72142</t>
  </si>
  <si>
    <t>SINAPI        ESQV 72143</t>
  </si>
  <si>
    <t>Retirada de folhas de porta de passagem ou janela</t>
  </si>
  <si>
    <t>Retirada de batentes de madeira</t>
  </si>
  <si>
    <t>Remoção de aparelhos de ar condicionado e instalações</t>
  </si>
  <si>
    <t>SINAPI         SERP 85332</t>
  </si>
  <si>
    <t>Retirada de aparelhos de iluminação com reaproveitamento de lâmpadas</t>
  </si>
  <si>
    <t>SINAPI         SERP 85416</t>
  </si>
  <si>
    <t>Remoção de tomadas ou interruptores elétricos</t>
  </si>
  <si>
    <t>SINAPI       SERP 85387</t>
  </si>
  <si>
    <t>Remoção manual de entulho</t>
  </si>
  <si>
    <t>SINAPI        SEDI 73948/008</t>
  </si>
  <si>
    <t>Limpeza vidro comum</t>
  </si>
  <si>
    <t>Limpeza piso placa de borracha</t>
  </si>
  <si>
    <t>SINAPI        SEDI 73948/013</t>
  </si>
  <si>
    <t>SINAPI        SEDI 74086/001</t>
  </si>
  <si>
    <t>Limpeza de louças e metais</t>
  </si>
  <si>
    <t>SINAPI        SEDI 73948/003</t>
  </si>
  <si>
    <t>Limpeza azulejo</t>
  </si>
  <si>
    <t>SINAPI        SEDI 73948/009</t>
  </si>
  <si>
    <t>Limpeza forro</t>
  </si>
  <si>
    <t>Limpeza piso cerâmico</t>
  </si>
  <si>
    <t>SINAPI        SEDI 90776</t>
  </si>
  <si>
    <t>SINAPI        SEDI 90778</t>
  </si>
  <si>
    <t>Encarregado geral com encargos</t>
  </si>
  <si>
    <t>Engenheiro Civil de obra pleno com encargos complementares</t>
  </si>
  <si>
    <t>SINAPI        SEDI 90780</t>
  </si>
  <si>
    <t>Mestre de obras com encargos complementares</t>
  </si>
  <si>
    <t>SINAPI        SEDI 73948/011</t>
  </si>
  <si>
    <t>SBC 90041</t>
  </si>
  <si>
    <t>Parede dupla 10cm, painel gesso 12,5mm - com montante em perfil metálico alumínio AL 60/6</t>
  </si>
  <si>
    <t>Forro de gesso em placas 60x60cm, espessura 1,2cm, inclusive fixacao com arame</t>
  </si>
  <si>
    <t>SINAPI REVE 72197</t>
  </si>
  <si>
    <t>Sanca de gesso, altura 15cm, moldada na obra</t>
  </si>
  <si>
    <t>SBC 120068</t>
  </si>
  <si>
    <t>Teto com fibraroc integrado a perfil cartola aluminio</t>
  </si>
  <si>
    <t>Contrapiso em argamassa traço 1:4 (cimento e areia), preparo manual, aplicado em áreas secas sobre laje, aderido, espessura 2cm. AF_06/2014</t>
  </si>
  <si>
    <t>SINAPI         PISO 87622</t>
  </si>
  <si>
    <t>SINAPI        PISO 84162</t>
  </si>
  <si>
    <t>Rodapé em madeira, altura 7cm, fixado com cola</t>
  </si>
  <si>
    <t>SBC 170212</t>
  </si>
  <si>
    <t>SBC 110265</t>
  </si>
  <si>
    <t>SINAPI       ESQV 72144</t>
  </si>
  <si>
    <t>Recolocação de folhas de porta de passagem ou janela, considerando reaproveitamento do material</t>
  </si>
  <si>
    <t>SBC 140026</t>
  </si>
  <si>
    <t>SINAPI ESQV 85005</t>
  </si>
  <si>
    <t>Espelho cristal, espessura 4mm, com parafusos de fixacao, sem moldura</t>
  </si>
  <si>
    <t>SBC 022355</t>
  </si>
  <si>
    <t>Retirada de dispositivos de retorno, aspiração e extravasão</t>
  </si>
  <si>
    <t xml:space="preserve">Pintura acrilica acetinada 3 demãos + massa fina + selador
</t>
  </si>
  <si>
    <t>SBC 180601</t>
  </si>
  <si>
    <t>Observação: 
Este orçamento foi elaborado tomando-se como base as composições de custos dos catálogos do SINAPI e SBC do Distrito Federal.</t>
  </si>
  <si>
    <t>SBC 170069</t>
  </si>
  <si>
    <t>cotação PGE</t>
  </si>
  <si>
    <t>Marco/aduela/batente/caixonete - madeira de lei 0,80x2,10m</t>
  </si>
  <si>
    <t>SINAPI JUL /16</t>
  </si>
  <si>
    <t>Piso em réguas vinílicas com espessura mínima de 4mm, capa de uso mínima 0,5mm. Ref.: Tarkett linhas linha Square coleção SET COR 24025673 ou similar</t>
  </si>
  <si>
    <t>Forro em painéis quadrados de madeira aglomerada revestida com folha natural de madeira Nogueira americana, acabamento liso, dimensões 625x625mm, espessura final de 16mm, sistema de sustentação ocluso com perfis "T" ocultos. Ref.: Hunter Douglas linha Tile Natura ou similar</t>
  </si>
  <si>
    <t>Carpete para tráfego comercial pesado (aplicação 5), ref.: Beaulieu linha Tendecy cor Connect 105 Dubai ou similar</t>
  </si>
  <si>
    <t>Voice panel 30 portas</t>
  </si>
  <si>
    <t>Gerenciador de cabos horizontal com tampa</t>
  </si>
  <si>
    <t>Tomada femea RJ-45</t>
  </si>
  <si>
    <t>Ponto tomada telefone embutida no piso</t>
  </si>
  <si>
    <t>Caixa de logica de embutir em piso</t>
  </si>
  <si>
    <t>Desativacao de instalacoes eletricas/logica/telefonia</t>
  </si>
  <si>
    <t>Cabo UTP categoria 6</t>
  </si>
  <si>
    <t>Cabo telefônico CI de 30 pares</t>
  </si>
  <si>
    <t>Line Cord RJ45 Cat6</t>
  </si>
  <si>
    <t>Line Cord RJ11 (telefonia)</t>
  </si>
  <si>
    <t>Patch Cord Cat6 (78 azul, 21 amarela)</t>
  </si>
  <si>
    <t>Rack D=19"" para patch-painel switch equip.dados/voz, 40U</t>
  </si>
  <si>
    <t>Patch panel 24 portas cat 6 19", altura 1U</t>
  </si>
  <si>
    <t>Bandeja fixa para rack 19"</t>
  </si>
  <si>
    <t>SINAPI         REVE 73986/001</t>
  </si>
  <si>
    <t>Quadro geral de baixa tensao tipo QGBT</t>
  </si>
  <si>
    <t>Retirada quadros eletricos com ate 18 disjuntores</t>
  </si>
  <si>
    <t>SINAPI 74130/001</t>
  </si>
  <si>
    <t>Disjuntor termomagnetico monopolar padrao nema (americano) 10 a 30A 240V, fornecimento e instalacao</t>
  </si>
  <si>
    <t>Disjuntor termomagnetico tripolar padrao nema (americano) 10 a 50A 240V, fornecimento e instalacao</t>
  </si>
  <si>
    <t>SINAPI 74130/004</t>
  </si>
  <si>
    <t>SBC 061484</t>
  </si>
  <si>
    <t>SBC 022031</t>
  </si>
  <si>
    <t>SBC 022780</t>
  </si>
  <si>
    <t>SBC 060207</t>
  </si>
  <si>
    <t>Ponto de luz em teto material aparente caixa e fiacao</t>
  </si>
  <si>
    <t>SBC 061806</t>
  </si>
  <si>
    <t>Ponto de antena TV por assinatura caixa 4x4-1,0 piso</t>
  </si>
  <si>
    <t>SBC 059106</t>
  </si>
  <si>
    <t>Placa com um furo imperia branco iriel p/ saida cabo antena</t>
  </si>
  <si>
    <t>SBC 062183</t>
  </si>
  <si>
    <t>Tomada embutir no piso</t>
  </si>
  <si>
    <t>Abertura e fechamento de rasgos em alvenarias com talhadeira</t>
  </si>
  <si>
    <t>Luminaria emergência indicativo de escape circuito 24V</t>
  </si>
  <si>
    <t>Spot direcionável linha Standard branco par 38 quadrado - 61</t>
  </si>
  <si>
    <t>Luminaria embutir fluorescente dupla 4x16W com lâmpada</t>
  </si>
  <si>
    <t>Transporte horizontal de materiais com carrinho de mao</t>
  </si>
  <si>
    <t>SBC 022921</t>
  </si>
  <si>
    <t>Interruptor simples com 1 tecla, completo com tampa</t>
  </si>
  <si>
    <t>Eletroduto PVC rigido 3/4""</t>
  </si>
  <si>
    <t>Caixa passagem PVC 4x4""</t>
  </si>
  <si>
    <t>Eletroduto flexivel sealtube 1""</t>
  </si>
  <si>
    <t>Haste aterramento 3/4 coperweld 40-3 metros</t>
  </si>
  <si>
    <t>Curva eletroduto PVC 3/4""</t>
  </si>
  <si>
    <t>Condulete aluminio tipo X - 3/4""</t>
  </si>
  <si>
    <t>Condulete aluminio tipo C/LB/LL/LR - 3/4""</t>
  </si>
  <si>
    <t>SBC 061214</t>
  </si>
  <si>
    <t>SBC 061081</t>
  </si>
  <si>
    <t>SBC 061012</t>
  </si>
  <si>
    <t>SBC 061551</t>
  </si>
  <si>
    <t>SBC 061400</t>
  </si>
  <si>
    <t>SBC 061482</t>
  </si>
  <si>
    <t>SBC 061804</t>
  </si>
  <si>
    <t>SBC 061856</t>
  </si>
  <si>
    <t>SBC 061859</t>
  </si>
  <si>
    <t>SBC 061104</t>
  </si>
  <si>
    <t>Rede ponto energia prateleiras loja comercial</t>
  </si>
  <si>
    <t>SBC 060005</t>
  </si>
  <si>
    <t>SBC 061107</t>
  </si>
  <si>
    <t>Eletrocalha 100x500mm com fixacao</t>
  </si>
  <si>
    <t>SBC 060418</t>
  </si>
  <si>
    <t>SBC 060114</t>
  </si>
  <si>
    <t>SBC 061468</t>
  </si>
  <si>
    <t>SBC 062562</t>
  </si>
  <si>
    <t>SBC 063025</t>
  </si>
  <si>
    <t>Conexao para eletrocalha perfurada 100x50cm</t>
  </si>
  <si>
    <t>Terminal para eletrocalha 100x50cm</t>
  </si>
  <si>
    <t>Conector cabo cobre 6mm2 de compressao</t>
  </si>
  <si>
    <t>Caixa ferro esmaltado 4"x2"</t>
  </si>
  <si>
    <t>SBC 059870</t>
  </si>
  <si>
    <t>SBC 059250</t>
  </si>
  <si>
    <t>SBC 059503</t>
  </si>
  <si>
    <t>SBC 059211</t>
  </si>
  <si>
    <t>SBC 062442</t>
  </si>
  <si>
    <t>Calha metalica para piso elevado 100x50mm srs 1800-3 sisa</t>
  </si>
  <si>
    <t>SBC 062702</t>
  </si>
  <si>
    <t>Categoria 03: Transportes</t>
  </si>
  <si>
    <t>Categoria 04: Serviços Complementares</t>
  </si>
  <si>
    <t>Categoria 05: Alvenarias e Divisórias</t>
  </si>
  <si>
    <t>Categoria 06: Revestimentos</t>
  </si>
  <si>
    <t>Categoria 07: Esquadrias, Vidraças e Ferragens</t>
  </si>
  <si>
    <t xml:space="preserve">Categoria 08: Instalações elétricas </t>
  </si>
  <si>
    <t>Categoria 09: Instalações mecânicas</t>
  </si>
  <si>
    <t>Categoria 10: Instalações de lógica e elétrica estabilizada</t>
  </si>
  <si>
    <t>SBC 059334</t>
  </si>
  <si>
    <t>SBC 059085</t>
  </si>
  <si>
    <t>Logica-ponto de tomada para CPD em condulete top 3/4"" exter</t>
  </si>
  <si>
    <t>SBC 062255</t>
  </si>
  <si>
    <t>Fio termoplastico 1,5mm2 a 6mm colocado em dutos</t>
  </si>
  <si>
    <t>SBC 023555</t>
  </si>
  <si>
    <t>Fio termoplastico 1,5mm2 a 6mm2 colocado em dutos</t>
  </si>
  <si>
    <t>03.01</t>
  </si>
  <si>
    <t>03.02</t>
  </si>
  <si>
    <t>04.03</t>
  </si>
  <si>
    <t>04.04</t>
  </si>
  <si>
    <t>04.05</t>
  </si>
  <si>
    <t>04.06</t>
  </si>
  <si>
    <t>04.07</t>
  </si>
  <si>
    <t>04.08</t>
  </si>
  <si>
    <t>04.09</t>
  </si>
  <si>
    <t>04.10</t>
  </si>
  <si>
    <t>04.11</t>
  </si>
  <si>
    <t>04.12</t>
  </si>
  <si>
    <t>04.13</t>
  </si>
  <si>
    <t>04.14</t>
  </si>
  <si>
    <t>04.15</t>
  </si>
  <si>
    <t>04.16</t>
  </si>
  <si>
    <t>04.17</t>
  </si>
  <si>
    <t>04.18</t>
  </si>
  <si>
    <t>04.19</t>
  </si>
  <si>
    <t>04.20</t>
  </si>
  <si>
    <t>04.21</t>
  </si>
  <si>
    <t>04.22</t>
  </si>
  <si>
    <t>04.23</t>
  </si>
  <si>
    <t>04.24</t>
  </si>
  <si>
    <t>04.25</t>
  </si>
  <si>
    <t>04.26</t>
  </si>
  <si>
    <t>04.27</t>
  </si>
  <si>
    <t>04.28</t>
  </si>
  <si>
    <t>04.29</t>
  </si>
  <si>
    <t>04.30</t>
  </si>
  <si>
    <t>04.31</t>
  </si>
  <si>
    <t>04.32</t>
  </si>
  <si>
    <t>04.33</t>
  </si>
  <si>
    <t>04.34</t>
  </si>
  <si>
    <t>04.35</t>
  </si>
  <si>
    <t>04.36</t>
  </si>
  <si>
    <t>Preparo de parede com massa pva coral (18l) sobre reboco</t>
  </si>
  <si>
    <t>SBC 180007</t>
  </si>
  <si>
    <t>06.01</t>
  </si>
  <si>
    <t>06.02</t>
  </si>
  <si>
    <t>06.03</t>
  </si>
  <si>
    <t>06.04</t>
  </si>
  <si>
    <t>06.05</t>
  </si>
  <si>
    <t>06.06</t>
  </si>
  <si>
    <t>06.07</t>
  </si>
  <si>
    <t>06.08</t>
  </si>
  <si>
    <t>06.09</t>
  </si>
  <si>
    <t>06.10</t>
  </si>
  <si>
    <t>07.01</t>
  </si>
  <si>
    <t>07.02</t>
  </si>
  <si>
    <t>07.03</t>
  </si>
  <si>
    <t>07.04</t>
  </si>
  <si>
    <t>07.05</t>
  </si>
  <si>
    <t>07.06</t>
  </si>
  <si>
    <t>08.01</t>
  </si>
  <si>
    <t>08.02</t>
  </si>
  <si>
    <t>08.03</t>
  </si>
  <si>
    <t>08.04</t>
  </si>
  <si>
    <t>08.05</t>
  </si>
  <si>
    <t>08.06</t>
  </si>
  <si>
    <t>08.07</t>
  </si>
  <si>
    <t>08.08</t>
  </si>
  <si>
    <t>08.09</t>
  </si>
  <si>
    <t>08.10</t>
  </si>
  <si>
    <t>08.11</t>
  </si>
  <si>
    <t>08.12</t>
  </si>
  <si>
    <t>08.13</t>
  </si>
  <si>
    <t>08.14</t>
  </si>
  <si>
    <t>08.15</t>
  </si>
  <si>
    <t>08.16</t>
  </si>
  <si>
    <t>08.17</t>
  </si>
  <si>
    <t>08.18</t>
  </si>
  <si>
    <t>08.19</t>
  </si>
  <si>
    <t>08.20</t>
  </si>
  <si>
    <t>08.21</t>
  </si>
  <si>
    <t>08.22</t>
  </si>
  <si>
    <t>08.23</t>
  </si>
  <si>
    <t>08.24</t>
  </si>
  <si>
    <t>08.25</t>
  </si>
  <si>
    <t>08.26</t>
  </si>
  <si>
    <t>09.01</t>
  </si>
  <si>
    <t>10.01</t>
  </si>
  <si>
    <t>10.02</t>
  </si>
  <si>
    <t>10.03</t>
  </si>
  <si>
    <t>10.04</t>
  </si>
  <si>
    <t>10.05</t>
  </si>
  <si>
    <t>10.06</t>
  </si>
  <si>
    <t>10.07</t>
  </si>
  <si>
    <t>10.08</t>
  </si>
  <si>
    <t>10.09</t>
  </si>
  <si>
    <t>10.10</t>
  </si>
  <si>
    <t>10.11</t>
  </si>
  <si>
    <t>10.12</t>
  </si>
  <si>
    <t>10.13</t>
  </si>
  <si>
    <t>10.14</t>
  </si>
  <si>
    <t>10.15</t>
  </si>
  <si>
    <t>10.16</t>
  </si>
  <si>
    <t>10.17</t>
  </si>
  <si>
    <t>10.18</t>
  </si>
  <si>
    <t>10.19</t>
  </si>
  <si>
    <t>10.20</t>
  </si>
  <si>
    <t>10.21</t>
  </si>
  <si>
    <t>10.22</t>
  </si>
  <si>
    <t>10.23</t>
  </si>
  <si>
    <t>Categoria 11: Pinturas</t>
  </si>
  <si>
    <t>11.01</t>
  </si>
  <si>
    <t>11.02</t>
  </si>
  <si>
    <t>11.03</t>
  </si>
  <si>
    <t>SBC 017137</t>
  </si>
  <si>
    <t>Dobradiça 3.1/2"x3" latão polido</t>
  </si>
  <si>
    <t>SBC 023076</t>
  </si>
  <si>
    <t>SBC 23555</t>
  </si>
  <si>
    <t>060588</t>
  </si>
  <si>
    <t>LUMINARIA EMBUTIR FLUORESCENTE DUPLA 4x16W COM LAMPADA</t>
  </si>
  <si>
    <t>COD</t>
  </si>
  <si>
    <t>UNI</t>
  </si>
  <si>
    <t>PREÇO UNIT</t>
  </si>
  <si>
    <t>INDICE</t>
  </si>
  <si>
    <t>PREÇO TOTAL</t>
  </si>
  <si>
    <t>002028</t>
  </si>
  <si>
    <t>CABO FLEXIVEL CORDPLAST 450/750V - 3x1,5mm2 (14 AWG)</t>
  </si>
  <si>
    <t>M</t>
  </si>
  <si>
    <t>0,3000</t>
  </si>
  <si>
    <t>008661</t>
  </si>
  <si>
    <t>REATOR INTRAL EL 2x16W</t>
  </si>
  <si>
    <t>2,0000</t>
  </si>
  <si>
    <t>040524</t>
  </si>
  <si>
    <t>ABRACADEIRA PARA FLUORESCENTES</t>
  </si>
  <si>
    <t>8,0000</t>
  </si>
  <si>
    <t>040525</t>
  </si>
  <si>
    <t>SOQUETE COM RABICHO/TOMADINHA PARA LAMPADA FLUORESCENTE</t>
  </si>
  <si>
    <t>047068</t>
  </si>
  <si>
    <t>LAMPADA FLUORESCENTE 16W TIPO TLDRS ACABAMENTO CONFORT</t>
  </si>
  <si>
    <t>4,0000</t>
  </si>
  <si>
    <t>099250</t>
  </si>
  <si>
    <t>ELETRICISTA</t>
  </si>
  <si>
    <t>H</t>
  </si>
  <si>
    <t>3,5170</t>
  </si>
  <si>
    <t>099806</t>
  </si>
  <si>
    <t>AJUDANTE DE ELETRICISTA</t>
  </si>
  <si>
    <t>3,9570</t>
  </si>
  <si>
    <t>LEIS SOCIAIS (86.34%)</t>
  </si>
  <si>
    <t>0,0000</t>
  </si>
  <si>
    <t>TOTAL :</t>
  </si>
  <si>
    <t>LUMINARIA EMBUTIR PARA 4 LAMPADAS TUBULARES</t>
  </si>
  <si>
    <t>Carga descarga materiais em geral (mao-de-obra) (para mudança)</t>
  </si>
  <si>
    <t>Remocao de pontos de instalação eletrica</t>
  </si>
  <si>
    <t>Projeto executivo de instalação lógica acima de 400m²</t>
  </si>
  <si>
    <t>Projeto executivo contratado de instalação ar condicionado - Sala 301</t>
  </si>
  <si>
    <t>SINAPI ESQV 72118</t>
  </si>
  <si>
    <t>Vidro temperado incolor, espessura 6mm, fornecimento e instalacao, inclusive massa para vedacao</t>
  </si>
  <si>
    <t>Cerâmica 35x35cm Incefra 30600 PEI III ou similar</t>
  </si>
  <si>
    <t>Projeto executivo instalações  elétricas baixa tensão até 400m² 1</t>
  </si>
  <si>
    <t>Piso elevado em chapas de aço pisoAG removíveis-piso tapete</t>
  </si>
  <si>
    <t>01.04</t>
  </si>
  <si>
    <t>SBC 180059</t>
  </si>
  <si>
    <t>Pintura verniz em rodapes de madeira</t>
  </si>
  <si>
    <t>COMP PGE 01</t>
  </si>
  <si>
    <t xml:space="preserve">Administração local </t>
  </si>
  <si>
    <t>mês</t>
  </si>
  <si>
    <t>COMP PGE 03</t>
  </si>
  <si>
    <t>Categoria 12: Marcenaria</t>
  </si>
  <si>
    <t>12.01</t>
  </si>
  <si>
    <t>Total da categoria 03:</t>
  </si>
  <si>
    <t>Total da categoria 06:</t>
  </si>
  <si>
    <t>Total da categoria 07:</t>
  </si>
  <si>
    <t>Total da categoria 08:</t>
  </si>
  <si>
    <t>Total da categoria 09:</t>
  </si>
  <si>
    <t>Total da categoria 10:</t>
  </si>
  <si>
    <t>Total da categoria 11:</t>
  </si>
  <si>
    <t>SBC 110051</t>
  </si>
  <si>
    <t>SBC 070998</t>
  </si>
  <si>
    <t>Porta completa madeira 1 fl.0,80x2,10m-rev.laminado-bandeira</t>
  </si>
  <si>
    <t>09.02</t>
  </si>
  <si>
    <t>09.03</t>
  </si>
  <si>
    <t>09.04</t>
  </si>
  <si>
    <t>09.05</t>
  </si>
  <si>
    <t>09.06</t>
  </si>
  <si>
    <t>09.07</t>
  </si>
  <si>
    <t>09.08</t>
  </si>
  <si>
    <t>09.09</t>
  </si>
  <si>
    <t>09.10</t>
  </si>
  <si>
    <t>09.11</t>
  </si>
  <si>
    <t>09.12</t>
  </si>
  <si>
    <t>09.13</t>
  </si>
  <si>
    <t>09.14</t>
  </si>
  <si>
    <t>Termostato para controle de fan&amp;coil</t>
  </si>
  <si>
    <t>Duto TDC ch galv 24 soldada sem isolamento</t>
  </si>
  <si>
    <t>Fita plastica 1/2"" para engravatamento de dutos</t>
  </si>
  <si>
    <t>Registro gaveta bronze bruto 2.1/2""(espera ramais secundari</t>
  </si>
  <si>
    <t>Pre-filtro com armacao 25x20x2""</t>
  </si>
  <si>
    <t>Difusor de insuflamento 300x300mm</t>
  </si>
  <si>
    <t>Grelha de retorno 300x250mm</t>
  </si>
  <si>
    <t>Quadro eletrico para ventilador</t>
  </si>
  <si>
    <t>Duto ar condicionado ch.aco 26-manta lan/vd.papel alum.-kg/m</t>
  </si>
  <si>
    <t>Bracadeira para dutos ar condicionado-cantoneira 3/4""xl/8""</t>
  </si>
  <si>
    <t>Manometro diam. 55mm de 01 a 10 kgf/cm2</t>
  </si>
  <si>
    <t>Interligacoes eletricas para fan&amp;coil</t>
  </si>
  <si>
    <t>Damper de laminas opostas para acionamento motorizado</t>
  </si>
  <si>
    <t>kg</t>
  </si>
  <si>
    <t>Chumbador Walsywa cbe 3/8""x80+prisioneiro 5.6</t>
  </si>
  <si>
    <t>cj</t>
  </si>
  <si>
    <t>SBC 070964</t>
  </si>
  <si>
    <t>SBC 070059</t>
  </si>
  <si>
    <t>SBC 070086</t>
  </si>
  <si>
    <t>SBC 070162</t>
  </si>
  <si>
    <t>SBC 070186</t>
  </si>
  <si>
    <t>SBC 070200</t>
  </si>
  <si>
    <t>SBC 070202</t>
  </si>
  <si>
    <t>SBC 070208</t>
  </si>
  <si>
    <t>SBC 070362</t>
  </si>
  <si>
    <t>SBC 070608</t>
  </si>
  <si>
    <t>SBC 070697</t>
  </si>
  <si>
    <t>SBC 070835</t>
  </si>
  <si>
    <t>SBC 070230</t>
  </si>
  <si>
    <t>Execução e remanejamento de módulos de estantes e móveis para sala de reunião, incluindo painel e prateleiras</t>
  </si>
  <si>
    <r>
      <rPr>
        <b/>
        <sz val="12"/>
        <color rgb="FF000000"/>
        <rFont val="Arial"/>
        <family val="2"/>
      </rPr>
      <t>LOCAL:</t>
    </r>
    <r>
      <rPr>
        <sz val="12"/>
        <color rgb="FF000000"/>
        <rFont val="Arial"/>
        <family val="2"/>
      </rPr>
      <t xml:space="preserve"> </t>
    </r>
    <r>
      <rPr>
        <sz val="12"/>
        <rFont val="Arial"/>
        <family val="2"/>
      </rPr>
      <t>Setor Administrativo Federal, Quadra 02, Lote 04, s 301 e 304             Brasília - DF</t>
    </r>
  </si>
  <si>
    <t>SBC 022335</t>
  </si>
  <si>
    <t>COMP PGE 02</t>
  </si>
  <si>
    <t>Eletricista-servico empreitado-ap.ar condicionado (70604)</t>
  </si>
  <si>
    <t>SBC 011146</t>
  </si>
  <si>
    <t>09.15</t>
  </si>
  <si>
    <t>SBC 067651</t>
  </si>
  <si>
    <t>Detector ionico de fumaca</t>
  </si>
  <si>
    <t>08.27</t>
  </si>
  <si>
    <t>ANEXO 8</t>
  </si>
  <si>
    <t>PLANILHA ORÇAMENTÁRIA "COM DESONERAÇÃO"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</si>
</sst>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R$&quot;\ * #,##0.00_-;\-&quot;R$&quot;\ * #,##0.00_-;_-&quot;R$&quot;\ * &quot;-&quot;??_-;_-@_-"/>
    <numFmt numFmtId="43" formatCode="_-* #,##0.00_-;\-* #,##0.00_-;_-* &quot;-&quot;??_-;_-@_-"/>
    <numFmt numFmtId="164" formatCode="[$-416]mmmm\-yy;@"/>
    <numFmt numFmtId="165" formatCode="#,##0.00;[Red]#,##0.00"/>
  </numFmts>
  <fonts count="18" x14ac:knownFonts="1">
    <font>
      <sz val="11"/>
      <color rgb="FF000000"/>
      <name val="Calibri"/>
      <family val="2"/>
    </font>
    <font>
      <sz val="10"/>
      <color rgb="FF000000"/>
      <name val="Arial"/>
      <family val="2"/>
    </font>
    <font>
      <b/>
      <sz val="10"/>
      <color rgb="FF000000"/>
      <name val="Arial"/>
      <family val="2"/>
    </font>
    <font>
      <sz val="11"/>
      <color rgb="FF000000"/>
      <name val="Calibri"/>
      <family val="2"/>
    </font>
    <font>
      <sz val="11"/>
      <color rgb="FF000000"/>
      <name val="Arial"/>
      <family val="2"/>
    </font>
    <font>
      <b/>
      <sz val="11"/>
      <color rgb="FF000000"/>
      <name val="Arial"/>
      <family val="2"/>
    </font>
    <font>
      <sz val="11"/>
      <name val="Calibri"/>
      <family val="2"/>
    </font>
    <font>
      <sz val="11"/>
      <name val="Arial"/>
      <family val="2"/>
    </font>
    <font>
      <b/>
      <sz val="12"/>
      <color rgb="FF000000"/>
      <name val="Arial"/>
      <family val="2"/>
    </font>
    <font>
      <sz val="12"/>
      <color rgb="FF000000"/>
      <name val="Arial"/>
      <family val="2"/>
    </font>
    <font>
      <b/>
      <sz val="12"/>
      <name val="Arial"/>
      <family val="2"/>
    </font>
    <font>
      <sz val="12"/>
      <name val="Arial"/>
      <family val="2"/>
    </font>
    <font>
      <sz val="12"/>
      <color rgb="FF000000"/>
      <name val="Calibri"/>
      <family val="2"/>
    </font>
    <font>
      <vertAlign val="superscript"/>
      <sz val="12"/>
      <color rgb="FF000000"/>
      <name val="Arial"/>
      <family val="2"/>
    </font>
    <font>
      <b/>
      <sz val="9"/>
      <color indexed="8"/>
      <name val="Arial"/>
      <family val="2"/>
    </font>
    <font>
      <sz val="9"/>
      <color indexed="8"/>
      <name val="Arial"/>
      <family val="2"/>
    </font>
    <font>
      <sz val="12"/>
      <color theme="1"/>
      <name val="Arial"/>
      <family val="2"/>
    </font>
    <font>
      <sz val="11"/>
      <color theme="1"/>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46">
    <border>
      <left/>
      <right/>
      <top/>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bottom style="thin">
        <color indexed="64"/>
      </bottom>
      <diagonal/>
    </border>
    <border>
      <left style="hair">
        <color indexed="64"/>
      </left>
      <right style="thin">
        <color indexed="64"/>
      </right>
      <top/>
      <bottom style="hair">
        <color indexed="64"/>
      </bottom>
      <diagonal/>
    </border>
  </borders>
  <cellStyleXfs count="4">
    <xf numFmtId="0" fontId="0"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cellStyleXfs>
  <cellXfs count="195">
    <xf numFmtId="0" fontId="0" fillId="0" borderId="0" xfId="0"/>
    <xf numFmtId="0" fontId="1" fillId="0" borderId="0" xfId="0" applyFont="1" applyAlignment="1">
      <alignment horizontal="left" vertical="top" wrapText="1"/>
    </xf>
    <xf numFmtId="0" fontId="1" fillId="0" borderId="0" xfId="0" applyFont="1" applyAlignment="1">
      <alignment horizontal="right" vertical="top" wrapText="1"/>
    </xf>
    <xf numFmtId="0" fontId="0" fillId="0" borderId="0" xfId="0"/>
    <xf numFmtId="0" fontId="0" fillId="0" borderId="0" xfId="0" applyFill="1"/>
    <xf numFmtId="44" fontId="1" fillId="0" borderId="0" xfId="2" applyFont="1" applyAlignment="1">
      <alignment horizontal="right" vertical="top" wrapText="1"/>
    </xf>
    <xf numFmtId="43" fontId="1" fillId="0" borderId="0" xfId="1" applyFont="1" applyAlignment="1">
      <alignment horizontal="right" vertical="top" wrapText="1"/>
    </xf>
    <xf numFmtId="0" fontId="4" fillId="0" borderId="1" xfId="0" applyFont="1" applyBorder="1"/>
    <xf numFmtId="0" fontId="1" fillId="0" borderId="0" xfId="0" applyFont="1"/>
    <xf numFmtId="0" fontId="1" fillId="0" borderId="6" xfId="0" applyFont="1" applyBorder="1"/>
    <xf numFmtId="0" fontId="1" fillId="0" borderId="1" xfId="0" applyFont="1" applyBorder="1"/>
    <xf numFmtId="0" fontId="1" fillId="0" borderId="10" xfId="0" applyFont="1" applyBorder="1"/>
    <xf numFmtId="0" fontId="6" fillId="0" borderId="0" xfId="0" applyFont="1"/>
    <xf numFmtId="0" fontId="5" fillId="2" borderId="20" xfId="0" applyFont="1" applyFill="1" applyBorder="1"/>
    <xf numFmtId="0" fontId="5" fillId="2" borderId="21" xfId="0" applyFont="1" applyFill="1" applyBorder="1" applyAlignment="1">
      <alignment horizontal="left" vertical="top" wrapText="1"/>
    </xf>
    <xf numFmtId="0" fontId="5" fillId="2" borderId="15" xfId="0" applyFont="1" applyFill="1" applyBorder="1"/>
    <xf numFmtId="0" fontId="5" fillId="2" borderId="16" xfId="0" applyFont="1" applyFill="1" applyBorder="1" applyAlignment="1">
      <alignment horizontal="left" vertical="top" wrapText="1"/>
    </xf>
    <xf numFmtId="0" fontId="4" fillId="2" borderId="26" xfId="0" applyFont="1" applyFill="1" applyBorder="1"/>
    <xf numFmtId="0" fontId="4" fillId="2" borderId="27" xfId="0" applyFont="1" applyFill="1" applyBorder="1" applyAlignment="1">
      <alignment horizontal="left" vertical="top" wrapText="1"/>
    </xf>
    <xf numFmtId="0" fontId="4" fillId="0" borderId="0" xfId="0" applyFont="1" applyBorder="1" applyAlignment="1">
      <alignment horizontal="left" vertical="top" wrapText="1"/>
    </xf>
    <xf numFmtId="0" fontId="4" fillId="0" borderId="0" xfId="0" applyFont="1" applyBorder="1" applyAlignment="1">
      <alignment horizontal="right" vertical="top" wrapText="1"/>
    </xf>
    <xf numFmtId="43" fontId="4" fillId="0" borderId="0" xfId="1" applyFont="1" applyBorder="1" applyAlignment="1">
      <alignment horizontal="right" vertical="top" wrapText="1"/>
    </xf>
    <xf numFmtId="44" fontId="4" fillId="0" borderId="0" xfId="2" applyFont="1" applyBorder="1" applyAlignment="1">
      <alignment horizontal="right" vertical="top" wrapText="1"/>
    </xf>
    <xf numFmtId="0" fontId="12" fillId="0" borderId="12" xfId="0" applyFont="1" applyBorder="1"/>
    <xf numFmtId="0" fontId="8" fillId="2" borderId="15" xfId="0" applyFont="1" applyFill="1" applyBorder="1" applyAlignment="1">
      <alignment horizontal="left" vertical="top"/>
    </xf>
    <xf numFmtId="0" fontId="9" fillId="2" borderId="16" xfId="0" applyFont="1" applyFill="1" applyBorder="1" applyAlignment="1">
      <alignment horizontal="left" vertical="top" wrapText="1"/>
    </xf>
    <xf numFmtId="49" fontId="9" fillId="2" borderId="16" xfId="0" applyNumberFormat="1" applyFont="1" applyFill="1" applyBorder="1" applyAlignment="1">
      <alignment horizontal="left" vertical="top" wrapText="1"/>
    </xf>
    <xf numFmtId="0" fontId="9" fillId="2" borderId="16" xfId="0" applyFont="1" applyFill="1" applyBorder="1" applyAlignment="1">
      <alignment horizontal="right" vertical="top" wrapText="1"/>
    </xf>
    <xf numFmtId="43" fontId="9" fillId="2" borderId="16" xfId="1" applyFont="1" applyFill="1" applyBorder="1" applyAlignment="1">
      <alignment horizontal="right" vertical="top" wrapText="1"/>
    </xf>
    <xf numFmtId="44" fontId="9" fillId="2" borderId="16" xfId="2" applyFont="1" applyFill="1" applyBorder="1" applyAlignment="1">
      <alignment horizontal="right" vertical="top" wrapText="1"/>
    </xf>
    <xf numFmtId="44" fontId="9" fillId="2" borderId="17" xfId="2" applyFont="1" applyFill="1" applyBorder="1" applyAlignment="1">
      <alignment horizontal="right" vertical="top" wrapText="1"/>
    </xf>
    <xf numFmtId="0" fontId="9" fillId="0" borderId="18" xfId="0" applyFont="1" applyBorder="1" applyAlignment="1">
      <alignment vertical="top"/>
    </xf>
    <xf numFmtId="0" fontId="9" fillId="0" borderId="3" xfId="0" applyFont="1" applyBorder="1" applyAlignment="1">
      <alignment horizontal="right" vertical="top" wrapText="1"/>
    </xf>
    <xf numFmtId="43" fontId="9" fillId="0" borderId="3" xfId="1" applyFont="1" applyBorder="1" applyAlignment="1">
      <alignment horizontal="right" vertical="top" wrapText="1"/>
    </xf>
    <xf numFmtId="44" fontId="9" fillId="0" borderId="3" xfId="2" applyFont="1" applyBorder="1" applyAlignment="1">
      <alignment horizontal="right" vertical="top" wrapText="1"/>
    </xf>
    <xf numFmtId="44" fontId="9" fillId="0" borderId="19" xfId="2" applyFont="1" applyBorder="1" applyAlignment="1">
      <alignment horizontal="right" vertical="top" wrapText="1"/>
    </xf>
    <xf numFmtId="0" fontId="8" fillId="2" borderId="20" xfId="0" applyFont="1" applyFill="1" applyBorder="1"/>
    <xf numFmtId="0" fontId="8" fillId="2" borderId="21" xfId="0" quotePrefix="1" applyFont="1" applyFill="1" applyBorder="1" applyAlignment="1">
      <alignment horizontal="left" vertical="top" wrapText="1"/>
    </xf>
    <xf numFmtId="44" fontId="8" fillId="2" borderId="22" xfId="2" applyFont="1" applyFill="1" applyBorder="1" applyAlignment="1">
      <alignment horizontal="right" vertical="top" wrapText="1"/>
    </xf>
    <xf numFmtId="43" fontId="9" fillId="0" borderId="3" xfId="1" applyFont="1" applyFill="1" applyBorder="1" applyAlignment="1">
      <alignment horizontal="right" vertical="top" wrapText="1"/>
    </xf>
    <xf numFmtId="44" fontId="9" fillId="0" borderId="3" xfId="2" applyFont="1" applyFill="1" applyBorder="1" applyAlignment="1">
      <alignment horizontal="right" vertical="top" wrapText="1"/>
    </xf>
    <xf numFmtId="0" fontId="9" fillId="0" borderId="18" xfId="0" applyFont="1" applyFill="1" applyBorder="1" applyAlignment="1">
      <alignment vertical="top"/>
    </xf>
    <xf numFmtId="0" fontId="9" fillId="0" borderId="3" xfId="0" applyFont="1" applyFill="1" applyBorder="1" applyAlignment="1">
      <alignment horizontal="left" vertical="top" wrapText="1"/>
    </xf>
    <xf numFmtId="0" fontId="9" fillId="0" borderId="3" xfId="0" applyFont="1" applyFill="1" applyBorder="1" applyAlignment="1">
      <alignment horizontal="right" vertical="top" wrapText="1"/>
    </xf>
    <xf numFmtId="44" fontId="11" fillId="0" borderId="3" xfId="2" applyFont="1" applyBorder="1" applyAlignment="1">
      <alignment horizontal="right" vertical="top" wrapText="1"/>
    </xf>
    <xf numFmtId="0" fontId="9" fillId="0" borderId="5" xfId="0" applyFont="1" applyBorder="1" applyAlignment="1">
      <alignment horizontal="right" vertical="top" wrapText="1"/>
    </xf>
    <xf numFmtId="43" fontId="9" fillId="0" borderId="5" xfId="1" applyFont="1" applyBorder="1" applyAlignment="1">
      <alignment horizontal="right" vertical="top" wrapText="1"/>
    </xf>
    <xf numFmtId="43" fontId="11" fillId="0" borderId="3" xfId="1" applyFont="1" applyFill="1" applyBorder="1" applyAlignment="1">
      <alignment horizontal="right" vertical="top" wrapText="1"/>
    </xf>
    <xf numFmtId="0" fontId="8" fillId="0" borderId="14" xfId="0" applyFont="1" applyBorder="1" applyAlignment="1">
      <alignment vertical="top" wrapText="1"/>
    </xf>
    <xf numFmtId="0" fontId="11" fillId="0" borderId="3" xfId="0" applyFont="1" applyBorder="1" applyAlignment="1">
      <alignment horizontal="right" vertical="top" wrapText="1"/>
    </xf>
    <xf numFmtId="43" fontId="11" fillId="3" borderId="3" xfId="1" applyFont="1" applyFill="1" applyBorder="1" applyAlignment="1">
      <alignment horizontal="right" vertical="top" wrapText="1"/>
    </xf>
    <xf numFmtId="43" fontId="9" fillId="0" borderId="4" xfId="1" applyFont="1" applyFill="1" applyBorder="1" applyAlignment="1">
      <alignment horizontal="right" vertical="top" wrapText="1"/>
    </xf>
    <xf numFmtId="44" fontId="9" fillId="0" borderId="4" xfId="2" applyFont="1" applyFill="1" applyBorder="1" applyAlignment="1">
      <alignment horizontal="right" vertical="top" wrapText="1"/>
    </xf>
    <xf numFmtId="43" fontId="11" fillId="0" borderId="5" xfId="1" applyFont="1" applyBorder="1" applyAlignment="1">
      <alignment horizontal="right" vertical="top" wrapText="1"/>
    </xf>
    <xf numFmtId="44" fontId="11" fillId="0" borderId="5" xfId="2" applyFont="1" applyBorder="1" applyAlignment="1">
      <alignment horizontal="right" vertical="top" wrapText="1"/>
    </xf>
    <xf numFmtId="49" fontId="9" fillId="0" borderId="3" xfId="0" applyNumberFormat="1" applyFont="1" applyBorder="1" applyAlignment="1">
      <alignment horizontal="justify" vertical="top" wrapText="1"/>
    </xf>
    <xf numFmtId="49" fontId="8" fillId="2" borderId="21" xfId="0" applyNumberFormat="1" applyFont="1" applyFill="1" applyBorder="1" applyAlignment="1">
      <alignment horizontal="justify" vertical="top" wrapText="1"/>
    </xf>
    <xf numFmtId="49" fontId="9" fillId="2" borderId="16" xfId="0" applyNumberFormat="1" applyFont="1" applyFill="1" applyBorder="1" applyAlignment="1">
      <alignment horizontal="justify" vertical="top" wrapText="1"/>
    </xf>
    <xf numFmtId="49" fontId="9" fillId="0" borderId="3" xfId="0" applyNumberFormat="1" applyFont="1" applyFill="1" applyBorder="1" applyAlignment="1">
      <alignment horizontal="justify" vertical="top" wrapText="1"/>
    </xf>
    <xf numFmtId="49" fontId="9" fillId="0" borderId="5" xfId="0" applyNumberFormat="1" applyFont="1" applyBorder="1" applyAlignment="1">
      <alignment horizontal="justify" vertical="top" wrapText="1"/>
    </xf>
    <xf numFmtId="49" fontId="8" fillId="0" borderId="14" xfId="0" applyNumberFormat="1" applyFont="1" applyBorder="1" applyAlignment="1">
      <alignment horizontal="justify" vertical="top" wrapText="1"/>
    </xf>
    <xf numFmtId="49" fontId="11" fillId="0" borderId="3" xfId="0" applyNumberFormat="1" applyFont="1" applyBorder="1" applyAlignment="1">
      <alignment horizontal="justify" vertical="top" wrapText="1"/>
    </xf>
    <xf numFmtId="49" fontId="11" fillId="0" borderId="3" xfId="0" applyNumberFormat="1" applyFont="1" applyFill="1" applyBorder="1" applyAlignment="1">
      <alignment horizontal="justify" vertical="top" wrapText="1"/>
    </xf>
    <xf numFmtId="49" fontId="9" fillId="0" borderId="4" xfId="0" applyNumberFormat="1" applyFont="1" applyFill="1" applyBorder="1" applyAlignment="1">
      <alignment horizontal="justify" vertical="top" wrapText="1"/>
    </xf>
    <xf numFmtId="49" fontId="11" fillId="0" borderId="5" xfId="0" applyNumberFormat="1" applyFont="1" applyBorder="1" applyAlignment="1">
      <alignment horizontal="justify" vertical="top" wrapText="1"/>
    </xf>
    <xf numFmtId="0" fontId="8" fillId="0" borderId="29" xfId="0" applyFont="1" applyBorder="1" applyAlignment="1">
      <alignment horizontal="left" vertical="top" wrapText="1"/>
    </xf>
    <xf numFmtId="0" fontId="8" fillId="0" borderId="29" xfId="0" applyFont="1" applyBorder="1" applyAlignment="1">
      <alignment horizontal="right" vertical="top" wrapText="1"/>
    </xf>
    <xf numFmtId="43" fontId="8" fillId="0" borderId="29" xfId="1" applyFont="1" applyBorder="1" applyAlignment="1">
      <alignment horizontal="right" vertical="top" wrapText="1"/>
    </xf>
    <xf numFmtId="44" fontId="8" fillId="0" borderId="29" xfId="2" applyFont="1" applyBorder="1" applyAlignment="1">
      <alignment horizontal="right" vertical="top" wrapText="1"/>
    </xf>
    <xf numFmtId="0" fontId="9" fillId="2" borderId="16" xfId="0" applyFont="1" applyFill="1" applyBorder="1" applyAlignment="1">
      <alignment horizontal="center" vertical="top" wrapText="1"/>
    </xf>
    <xf numFmtId="0" fontId="4" fillId="0" borderId="7" xfId="0" applyFont="1" applyBorder="1"/>
    <xf numFmtId="0" fontId="4" fillId="0" borderId="2" xfId="0" applyFont="1" applyBorder="1"/>
    <xf numFmtId="0" fontId="4" fillId="0" borderId="11" xfId="0" applyFont="1" applyBorder="1"/>
    <xf numFmtId="0" fontId="8" fillId="0" borderId="1" xfId="0" applyFont="1" applyBorder="1" applyAlignment="1"/>
    <xf numFmtId="0" fontId="8" fillId="0" borderId="0" xfId="0" applyFont="1" applyBorder="1" applyAlignment="1"/>
    <xf numFmtId="0" fontId="9" fillId="0" borderId="1" xfId="0" applyFont="1" applyBorder="1" applyAlignment="1"/>
    <xf numFmtId="0" fontId="9" fillId="0" borderId="0" xfId="0" applyFont="1" applyBorder="1" applyAlignment="1"/>
    <xf numFmtId="0" fontId="10" fillId="4" borderId="29" xfId="0" applyFont="1" applyFill="1" applyBorder="1" applyAlignment="1">
      <alignment horizontal="center"/>
    </xf>
    <xf numFmtId="0" fontId="8" fillId="0" borderId="9" xfId="0" applyFont="1" applyBorder="1" applyAlignment="1"/>
    <xf numFmtId="0" fontId="8" fillId="0" borderId="33" xfId="0" applyFont="1" applyBorder="1" applyAlignment="1"/>
    <xf numFmtId="0" fontId="9" fillId="0" borderId="33" xfId="0" applyFont="1" applyBorder="1" applyAlignment="1"/>
    <xf numFmtId="164" fontId="9" fillId="0" borderId="13" xfId="0" applyNumberFormat="1" applyFont="1" applyBorder="1" applyAlignment="1">
      <alignment horizontal="left"/>
    </xf>
    <xf numFmtId="164" fontId="8" fillId="0" borderId="33" xfId="0" applyNumberFormat="1" applyFont="1" applyBorder="1" applyAlignment="1">
      <alignment horizontal="left"/>
    </xf>
    <xf numFmtId="164" fontId="9" fillId="0" borderId="33" xfId="0" applyNumberFormat="1" applyFont="1" applyBorder="1" applyAlignment="1">
      <alignment horizontal="left"/>
    </xf>
    <xf numFmtId="0" fontId="14" fillId="0" borderId="0" xfId="0" applyFont="1" applyAlignment="1">
      <alignment vertical="center"/>
    </xf>
    <xf numFmtId="0" fontId="15" fillId="0" borderId="0" xfId="0" applyFont="1"/>
    <xf numFmtId="0" fontId="14" fillId="0" borderId="0" xfId="0" applyFont="1" applyAlignment="1">
      <alignment horizontal="left" vertical="center"/>
    </xf>
    <xf numFmtId="0" fontId="14" fillId="0" borderId="0" xfId="0" applyFont="1" applyAlignment="1">
      <alignment horizontal="right" vertical="center"/>
    </xf>
    <xf numFmtId="0" fontId="14" fillId="0" borderId="0" xfId="0" applyFont="1" applyAlignment="1">
      <alignment horizontal="center" vertical="center"/>
    </xf>
    <xf numFmtId="0" fontId="15" fillId="0" borderId="0" xfId="0" applyFont="1" applyAlignment="1">
      <alignment vertical="center"/>
    </xf>
    <xf numFmtId="4" fontId="15" fillId="0" borderId="0" xfId="0" applyNumberFormat="1" applyFont="1" applyAlignment="1">
      <alignment vertical="center"/>
    </xf>
    <xf numFmtId="0" fontId="15" fillId="0" borderId="0" xfId="0" applyFont="1" applyAlignment="1">
      <alignment horizontal="right" vertical="center"/>
    </xf>
    <xf numFmtId="4" fontId="14" fillId="0" borderId="0" xfId="0" applyNumberFormat="1" applyFont="1" applyAlignment="1">
      <alignment vertical="center"/>
    </xf>
    <xf numFmtId="49" fontId="16" fillId="0" borderId="3" xfId="0" applyNumberFormat="1" applyFont="1" applyBorder="1" applyAlignment="1">
      <alignment horizontal="justify" vertical="top" wrapText="1"/>
    </xf>
    <xf numFmtId="0" fontId="16" fillId="0" borderId="3" xfId="0" applyFont="1" applyBorder="1" applyAlignment="1">
      <alignment horizontal="right" vertical="top" wrapText="1"/>
    </xf>
    <xf numFmtId="43" fontId="16" fillId="0" borderId="3" xfId="1" applyFont="1" applyBorder="1" applyAlignment="1">
      <alignment horizontal="right" vertical="top" wrapText="1"/>
    </xf>
    <xf numFmtId="44" fontId="16" fillId="0" borderId="3" xfId="2" applyFont="1" applyBorder="1" applyAlignment="1">
      <alignment horizontal="right" vertical="top" wrapText="1"/>
    </xf>
    <xf numFmtId="44" fontId="16" fillId="0" borderId="19" xfId="2" applyFont="1" applyBorder="1" applyAlignment="1">
      <alignment horizontal="right" vertical="top" wrapText="1"/>
    </xf>
    <xf numFmtId="0" fontId="17" fillId="0" borderId="0" xfId="0" applyFont="1"/>
    <xf numFmtId="44" fontId="8" fillId="2" borderId="35" xfId="2" applyFont="1" applyFill="1" applyBorder="1" applyAlignment="1">
      <alignment horizontal="right" vertical="top" wrapText="1"/>
    </xf>
    <xf numFmtId="0" fontId="8" fillId="2" borderId="34" xfId="0" applyFont="1" applyFill="1" applyBorder="1"/>
    <xf numFmtId="0" fontId="8" fillId="2" borderId="36" xfId="0" quotePrefix="1" applyFont="1" applyFill="1" applyBorder="1" applyAlignment="1">
      <alignment horizontal="left" vertical="top" wrapText="1"/>
    </xf>
    <xf numFmtId="49" fontId="8" fillId="2" borderId="36" xfId="0" applyNumberFormat="1" applyFont="1" applyFill="1" applyBorder="1" applyAlignment="1">
      <alignment horizontal="justify" vertical="top" wrapText="1"/>
    </xf>
    <xf numFmtId="43" fontId="9" fillId="0" borderId="4" xfId="1" applyFont="1" applyBorder="1" applyAlignment="1">
      <alignment horizontal="right" vertical="top" wrapText="1"/>
    </xf>
    <xf numFmtId="0" fontId="8" fillId="2" borderId="37" xfId="0" applyFont="1" applyFill="1" applyBorder="1"/>
    <xf numFmtId="0" fontId="8" fillId="2" borderId="38" xfId="0" quotePrefix="1" applyFont="1" applyFill="1" applyBorder="1" applyAlignment="1">
      <alignment horizontal="left" vertical="top" wrapText="1"/>
    </xf>
    <xf numFmtId="49" fontId="8" fillId="2" borderId="38" xfId="0" applyNumberFormat="1" applyFont="1" applyFill="1" applyBorder="1" applyAlignment="1">
      <alignment horizontal="justify" vertical="top" wrapText="1"/>
    </xf>
    <xf numFmtId="44" fontId="8" fillId="2" borderId="28" xfId="2" applyFont="1" applyFill="1" applyBorder="1" applyAlignment="1">
      <alignment horizontal="right" vertical="top" wrapText="1"/>
    </xf>
    <xf numFmtId="44" fontId="8" fillId="2" borderId="17" xfId="2" applyFont="1" applyFill="1" applyBorder="1" applyAlignment="1">
      <alignment horizontal="right" vertical="top" wrapText="1"/>
    </xf>
    <xf numFmtId="49" fontId="11" fillId="0" borderId="5" xfId="0" applyNumberFormat="1" applyFont="1" applyFill="1" applyBorder="1" applyAlignment="1">
      <alignment horizontal="justify" vertical="top" wrapText="1"/>
    </xf>
    <xf numFmtId="43" fontId="11" fillId="0" borderId="3" xfId="1" applyFont="1" applyBorder="1" applyAlignment="1">
      <alignment horizontal="right" vertical="top" wrapText="1"/>
    </xf>
    <xf numFmtId="44" fontId="11" fillId="0" borderId="19" xfId="2" applyFont="1" applyBorder="1" applyAlignment="1">
      <alignment horizontal="right" vertical="top" wrapText="1"/>
    </xf>
    <xf numFmtId="0" fontId="9" fillId="0" borderId="43" xfId="0" applyFont="1" applyFill="1" applyBorder="1" applyAlignment="1">
      <alignment vertical="top"/>
    </xf>
    <xf numFmtId="49" fontId="9" fillId="0" borderId="5" xfId="0" applyNumberFormat="1" applyFont="1" applyFill="1" applyBorder="1" applyAlignment="1">
      <alignment horizontal="justify" vertical="top" wrapText="1"/>
    </xf>
    <xf numFmtId="0" fontId="11" fillId="0" borderId="18" xfId="0" applyFont="1" applyFill="1" applyBorder="1" applyAlignment="1">
      <alignment vertical="top"/>
    </xf>
    <xf numFmtId="44" fontId="9" fillId="0" borderId="5" xfId="2" applyFont="1" applyFill="1" applyBorder="1" applyAlignment="1">
      <alignment horizontal="right" vertical="top" wrapText="1"/>
    </xf>
    <xf numFmtId="44" fontId="11" fillId="0" borderId="3" xfId="2" applyFont="1" applyFill="1" applyBorder="1" applyAlignment="1">
      <alignment horizontal="right" vertical="top" wrapText="1"/>
    </xf>
    <xf numFmtId="44" fontId="11" fillId="0" borderId="4" xfId="2" applyFont="1" applyFill="1" applyBorder="1" applyAlignment="1">
      <alignment horizontal="right" vertical="top" wrapText="1"/>
    </xf>
    <xf numFmtId="44" fontId="0" fillId="0" borderId="0" xfId="0" applyNumberFormat="1"/>
    <xf numFmtId="0" fontId="15" fillId="5" borderId="0" xfId="0" applyFont="1" applyFill="1" applyAlignment="1">
      <alignment vertical="center"/>
    </xf>
    <xf numFmtId="0" fontId="15" fillId="5" borderId="0" xfId="0" applyFont="1" applyFill="1"/>
    <xf numFmtId="4" fontId="15" fillId="5" borderId="0" xfId="0" applyNumberFormat="1" applyFont="1" applyFill="1" applyAlignment="1">
      <alignment vertical="center"/>
    </xf>
    <xf numFmtId="0" fontId="15" fillId="5" borderId="0" xfId="0" applyFont="1" applyFill="1" applyAlignment="1">
      <alignment horizontal="right" vertical="center"/>
    </xf>
    <xf numFmtId="0" fontId="0" fillId="5" borderId="0" xfId="0" applyFill="1"/>
    <xf numFmtId="165" fontId="15" fillId="5" borderId="0" xfId="0" applyNumberFormat="1" applyFont="1" applyFill="1"/>
    <xf numFmtId="43" fontId="9" fillId="0" borderId="5" xfId="1" applyFont="1" applyFill="1" applyBorder="1" applyAlignment="1">
      <alignment horizontal="right" vertical="top" wrapText="1"/>
    </xf>
    <xf numFmtId="44" fontId="9" fillId="0" borderId="19" xfId="2" applyFont="1" applyFill="1" applyBorder="1" applyAlignment="1">
      <alignment horizontal="right" vertical="top" wrapText="1"/>
    </xf>
    <xf numFmtId="0" fontId="11" fillId="0" borderId="3" xfId="0" applyFont="1" applyFill="1" applyBorder="1" applyAlignment="1">
      <alignment horizontal="left" vertical="top" wrapText="1"/>
    </xf>
    <xf numFmtId="0" fontId="11" fillId="0" borderId="3" xfId="0" applyFont="1" applyFill="1" applyBorder="1" applyAlignment="1">
      <alignment horizontal="right" vertical="top" wrapText="1"/>
    </xf>
    <xf numFmtId="0" fontId="9" fillId="0" borderId="25" xfId="0" applyFont="1" applyFill="1" applyBorder="1" applyAlignment="1">
      <alignment vertical="top"/>
    </xf>
    <xf numFmtId="44" fontId="8" fillId="2" borderId="44" xfId="2" applyFont="1" applyFill="1" applyBorder="1" applyAlignment="1">
      <alignment horizontal="right" vertical="top" wrapText="1"/>
    </xf>
    <xf numFmtId="49" fontId="11" fillId="0" borderId="4" xfId="0" applyNumberFormat="1" applyFont="1" applyFill="1" applyBorder="1" applyAlignment="1">
      <alignment horizontal="justify" vertical="top" wrapText="1"/>
    </xf>
    <xf numFmtId="0" fontId="16" fillId="0" borderId="3" xfId="0" applyFont="1" applyFill="1" applyBorder="1" applyAlignment="1">
      <alignment horizontal="left" vertical="top" wrapText="1"/>
    </xf>
    <xf numFmtId="0" fontId="9" fillId="0" borderId="5" xfId="0" applyFont="1" applyFill="1" applyBorder="1" applyAlignment="1">
      <alignment horizontal="left" vertical="top" wrapText="1"/>
    </xf>
    <xf numFmtId="0" fontId="11" fillId="0" borderId="5" xfId="0" applyFont="1" applyFill="1" applyBorder="1" applyAlignment="1">
      <alignment horizontal="left" vertical="top" wrapText="1"/>
    </xf>
    <xf numFmtId="0" fontId="9" fillId="0" borderId="4" xfId="0" applyFont="1" applyFill="1" applyBorder="1" applyAlignment="1">
      <alignment horizontal="left" vertical="top" wrapText="1"/>
    </xf>
    <xf numFmtId="0" fontId="11" fillId="0" borderId="4" xfId="0" applyFont="1" applyFill="1" applyBorder="1" applyAlignment="1">
      <alignment horizontal="left" vertical="top" wrapText="1"/>
    </xf>
    <xf numFmtId="9" fontId="10" fillId="2" borderId="22" xfId="3" applyFont="1" applyFill="1" applyBorder="1" applyAlignment="1">
      <alignment horizontal="right" vertical="top" wrapText="1"/>
    </xf>
    <xf numFmtId="0" fontId="1" fillId="0" borderId="23" xfId="0" applyFont="1" applyBorder="1"/>
    <xf numFmtId="0" fontId="8" fillId="0" borderId="13" xfId="0" applyFont="1" applyBorder="1"/>
    <xf numFmtId="0" fontId="12" fillId="0" borderId="10" xfId="0" applyFont="1" applyBorder="1"/>
    <xf numFmtId="0" fontId="12" fillId="0" borderId="11" xfId="0" applyFont="1" applyBorder="1"/>
    <xf numFmtId="0" fontId="12" fillId="0" borderId="1" xfId="0" applyFont="1" applyBorder="1"/>
    <xf numFmtId="0" fontId="12" fillId="0" borderId="0" xfId="0" applyFont="1" applyBorder="1"/>
    <xf numFmtId="49" fontId="12" fillId="0" borderId="0" xfId="0" applyNumberFormat="1" applyFont="1" applyBorder="1" applyAlignment="1">
      <alignment horizontal="justify" vertical="top" wrapText="1"/>
    </xf>
    <xf numFmtId="0" fontId="12" fillId="0" borderId="2" xfId="0" applyFont="1" applyBorder="1"/>
    <xf numFmtId="0" fontId="9" fillId="0" borderId="1" xfId="0" applyFont="1" applyBorder="1"/>
    <xf numFmtId="0" fontId="8" fillId="0" borderId="24" xfId="0" applyFont="1" applyBorder="1" applyAlignment="1">
      <alignment vertical="top" wrapText="1"/>
    </xf>
    <xf numFmtId="0" fontId="0" fillId="0" borderId="1" xfId="0" applyBorder="1"/>
    <xf numFmtId="0" fontId="0" fillId="0" borderId="0" xfId="0" applyBorder="1"/>
    <xf numFmtId="0" fontId="0" fillId="0" borderId="2" xfId="0" applyBorder="1"/>
    <xf numFmtId="0" fontId="0" fillId="0" borderId="1" xfId="0" applyFont="1" applyBorder="1"/>
    <xf numFmtId="0" fontId="0" fillId="0" borderId="0" xfId="0" applyFont="1" applyBorder="1"/>
    <xf numFmtId="44" fontId="1" fillId="0" borderId="2" xfId="2" applyFont="1" applyBorder="1" applyAlignment="1">
      <alignment horizontal="right" vertical="top" wrapText="1"/>
    </xf>
    <xf numFmtId="0" fontId="9" fillId="0" borderId="25" xfId="0" applyFont="1" applyBorder="1" applyAlignment="1">
      <alignment vertical="top"/>
    </xf>
    <xf numFmtId="49" fontId="9" fillId="0" borderId="4" xfId="0" applyNumberFormat="1" applyFont="1" applyBorder="1" applyAlignment="1">
      <alignment horizontal="justify" vertical="top" wrapText="1"/>
    </xf>
    <xf numFmtId="0" fontId="9" fillId="0" borderId="4" xfId="0" applyFont="1" applyBorder="1" applyAlignment="1">
      <alignment horizontal="right" vertical="top" wrapText="1"/>
    </xf>
    <xf numFmtId="44" fontId="9" fillId="0" borderId="4" xfId="2" applyFont="1" applyBorder="1" applyAlignment="1">
      <alignment horizontal="right" vertical="top" wrapText="1"/>
    </xf>
    <xf numFmtId="44" fontId="9" fillId="0" borderId="45" xfId="2" applyFont="1" applyBorder="1" applyAlignment="1">
      <alignment horizontal="right" vertical="top" wrapText="1"/>
    </xf>
    <xf numFmtId="0" fontId="9" fillId="0" borderId="20" xfId="0" applyFont="1" applyBorder="1" applyAlignment="1">
      <alignment vertical="top"/>
    </xf>
    <xf numFmtId="0" fontId="9" fillId="0" borderId="21" xfId="0" applyFont="1" applyFill="1" applyBorder="1" applyAlignment="1">
      <alignment horizontal="left" vertical="top" wrapText="1"/>
    </xf>
    <xf numFmtId="49" fontId="9" fillId="0" borderId="21" xfId="0" applyNumberFormat="1" applyFont="1" applyFill="1" applyBorder="1" applyAlignment="1">
      <alignment horizontal="justify" vertical="top" wrapText="1"/>
    </xf>
    <xf numFmtId="0" fontId="9" fillId="0" borderId="21" xfId="0" applyFont="1" applyBorder="1" applyAlignment="1">
      <alignment horizontal="right" vertical="top" wrapText="1"/>
    </xf>
    <xf numFmtId="43" fontId="9" fillId="0" borderId="21" xfId="1" applyFont="1" applyBorder="1" applyAlignment="1">
      <alignment horizontal="right" vertical="top" wrapText="1"/>
    </xf>
    <xf numFmtId="44" fontId="9" fillId="0" borderId="21" xfId="2" applyFont="1" applyFill="1" applyBorder="1" applyAlignment="1">
      <alignment horizontal="right" vertical="top" wrapText="1"/>
    </xf>
    <xf numFmtId="44" fontId="9" fillId="0" borderId="22" xfId="2" applyFont="1" applyBorder="1" applyAlignment="1">
      <alignment horizontal="right" vertical="top" wrapText="1"/>
    </xf>
    <xf numFmtId="2" fontId="0" fillId="0" borderId="0" xfId="0" applyNumberFormat="1"/>
    <xf numFmtId="2" fontId="6" fillId="0" borderId="0" xfId="0" applyNumberFormat="1" applyFont="1"/>
    <xf numFmtId="0" fontId="8" fillId="0" borderId="6" xfId="0" applyFont="1" applyBorder="1" applyAlignment="1">
      <alignment horizontal="center" wrapText="1"/>
    </xf>
    <xf numFmtId="0" fontId="8" fillId="0" borderId="8" xfId="0" applyFont="1" applyBorder="1" applyAlignment="1">
      <alignment horizontal="center" wrapText="1"/>
    </xf>
    <xf numFmtId="0" fontId="10" fillId="0" borderId="1" xfId="0" applyFont="1" applyBorder="1" applyAlignment="1">
      <alignment horizontal="center" wrapText="1"/>
    </xf>
    <xf numFmtId="0" fontId="10" fillId="0" borderId="0" xfId="0" applyFont="1" applyBorder="1" applyAlignment="1">
      <alignment horizontal="center" wrapText="1"/>
    </xf>
    <xf numFmtId="0" fontId="8" fillId="2" borderId="36" xfId="0" applyFont="1" applyFill="1" applyBorder="1" applyAlignment="1">
      <alignment horizontal="right" vertical="top" wrapText="1"/>
    </xf>
    <xf numFmtId="0" fontId="2" fillId="0" borderId="0" xfId="0" applyFont="1" applyBorder="1" applyAlignment="1">
      <alignment horizontal="left" vertical="top" wrapText="1"/>
    </xf>
    <xf numFmtId="0" fontId="2" fillId="0" borderId="2" xfId="0" applyFont="1" applyBorder="1" applyAlignment="1">
      <alignment horizontal="left" vertical="top" wrapText="1"/>
    </xf>
    <xf numFmtId="0" fontId="9" fillId="0" borderId="1" xfId="0" applyFont="1" applyBorder="1" applyAlignment="1">
      <alignment horizontal="left" wrapText="1"/>
    </xf>
    <xf numFmtId="0" fontId="9" fillId="0" borderId="0" xfId="0" applyFont="1" applyBorder="1" applyAlignment="1">
      <alignment horizontal="left" wrapText="1"/>
    </xf>
    <xf numFmtId="0" fontId="9" fillId="0" borderId="10" xfId="0" applyFont="1" applyBorder="1" applyAlignment="1">
      <alignment horizontal="left" wrapText="1"/>
    </xf>
    <xf numFmtId="0" fontId="9" fillId="0" borderId="12" xfId="0" applyFont="1" applyBorder="1" applyAlignment="1">
      <alignment horizontal="left" wrapText="1"/>
    </xf>
    <xf numFmtId="0" fontId="8" fillId="2" borderId="2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12" xfId="0" applyFont="1" applyFill="1" applyBorder="1" applyAlignment="1">
      <alignment horizontal="right" vertical="top" wrapText="1"/>
    </xf>
    <xf numFmtId="0" fontId="5" fillId="2" borderId="41" xfId="0" applyFont="1" applyFill="1" applyBorder="1" applyAlignment="1">
      <alignment horizontal="right" vertical="top" wrapText="1"/>
    </xf>
    <xf numFmtId="0" fontId="5" fillId="2" borderId="14" xfId="0" applyFont="1" applyFill="1" applyBorder="1" applyAlignment="1">
      <alignment horizontal="right" vertical="top" wrapText="1"/>
    </xf>
    <xf numFmtId="0" fontId="5" fillId="2" borderId="42" xfId="0" applyFont="1" applyFill="1" applyBorder="1" applyAlignment="1">
      <alignment horizontal="right" vertical="top" wrapText="1"/>
    </xf>
    <xf numFmtId="0" fontId="7" fillId="0" borderId="23" xfId="0" applyFont="1" applyBorder="1" applyAlignment="1">
      <alignment horizontal="left" vertical="justify" wrapText="1"/>
    </xf>
    <xf numFmtId="0" fontId="7" fillId="0" borderId="14" xfId="0" applyFont="1" applyBorder="1" applyAlignment="1">
      <alignment horizontal="left" vertical="justify"/>
    </xf>
    <xf numFmtId="0" fontId="7" fillId="0" borderId="24" xfId="0" applyFont="1" applyBorder="1" applyAlignment="1">
      <alignment horizontal="left" vertical="justify"/>
    </xf>
    <xf numFmtId="0" fontId="5" fillId="2" borderId="32" xfId="0" applyFont="1" applyFill="1" applyBorder="1" applyAlignment="1">
      <alignment horizontal="right" vertical="top" wrapText="1"/>
    </xf>
    <xf numFmtId="0" fontId="5" fillId="2" borderId="30" xfId="0" applyFont="1" applyFill="1" applyBorder="1" applyAlignment="1">
      <alignment horizontal="right" vertical="top" wrapText="1"/>
    </xf>
    <xf numFmtId="0" fontId="5" fillId="2" borderId="40" xfId="0" applyFont="1" applyFill="1" applyBorder="1" applyAlignment="1">
      <alignment horizontal="right" vertical="top" wrapText="1"/>
    </xf>
    <xf numFmtId="44" fontId="5" fillId="2" borderId="31" xfId="2" applyFont="1" applyFill="1" applyBorder="1" applyAlignment="1">
      <alignment horizontal="right" vertical="top" wrapText="1"/>
    </xf>
    <xf numFmtId="44" fontId="5" fillId="2" borderId="36" xfId="2" applyFont="1" applyFill="1" applyBorder="1" applyAlignment="1">
      <alignment horizontal="right" vertical="top" wrapText="1"/>
    </xf>
    <xf numFmtId="44" fontId="5" fillId="2" borderId="39" xfId="2" applyFont="1" applyFill="1" applyBorder="1" applyAlignment="1">
      <alignment horizontal="right" vertical="top" wrapText="1"/>
    </xf>
  </cellXfs>
  <cellStyles count="4">
    <cellStyle name="Moeda" xfId="2" builtinId="4"/>
    <cellStyle name="Normal" xfId="0" builtinId="0"/>
    <cellStyle name="Porcentagem" xfId="3" builtinId="5"/>
    <cellStyle name="Vírgula" xfId="1"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B9B8"/>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2DCDB"/>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mruColors>
      <color rgb="FFD8F676"/>
      <color rgb="FFF5F7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296333</xdr:colOff>
      <xdr:row>0</xdr:row>
      <xdr:rowOff>95250</xdr:rowOff>
    </xdr:from>
    <xdr:to>
      <xdr:col>1</xdr:col>
      <xdr:colOff>615825</xdr:colOff>
      <xdr:row>6</xdr:row>
      <xdr:rowOff>83343</xdr:rowOff>
    </xdr:to>
    <xdr:pic>
      <xdr:nvPicPr>
        <xdr:cNvPr id="2" name="Imagem 2" descr="Timbre Novo test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296333" y="95250"/>
          <a:ext cx="771930" cy="12025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3"/>
  <sheetViews>
    <sheetView tabSelected="1" view="pageBreakPreview" topLeftCell="A166" zoomScale="90" zoomScaleNormal="80" zoomScaleSheetLayoutView="90" workbookViewId="0">
      <selection activeCell="I9" sqref="I9"/>
    </sheetView>
  </sheetViews>
  <sheetFormatPr defaultColWidth="9.140625" defaultRowHeight="15" x14ac:dyDescent="0.25"/>
  <cols>
    <col min="1" max="1" width="6.85546875" style="8" customWidth="1"/>
    <col min="2" max="2" width="10.42578125" style="1" customWidth="1"/>
    <col min="3" max="3" width="47" style="1" customWidth="1"/>
    <col min="4" max="4" width="9.85546875" style="2" bestFit="1" customWidth="1"/>
    <col min="5" max="5" width="11.5703125" style="6" customWidth="1"/>
    <col min="6" max="6" width="16.5703125" style="5" bestFit="1" customWidth="1"/>
    <col min="7" max="7" width="17.85546875" style="5" bestFit="1" customWidth="1"/>
    <col min="9" max="9" width="12.7109375" bestFit="1" customWidth="1"/>
  </cols>
  <sheetData>
    <row r="1" spans="1:7" ht="15.75" x14ac:dyDescent="0.25">
      <c r="A1" s="9"/>
      <c r="B1" s="70"/>
      <c r="C1" s="168" t="s">
        <v>22</v>
      </c>
      <c r="D1" s="169"/>
      <c r="E1" s="169"/>
      <c r="F1" s="169"/>
      <c r="G1" s="78"/>
    </row>
    <row r="2" spans="1:7" ht="15.75" x14ac:dyDescent="0.25">
      <c r="A2" s="10"/>
      <c r="B2" s="71"/>
      <c r="C2" s="73"/>
      <c r="D2" s="74"/>
      <c r="E2" s="74"/>
      <c r="F2" s="74"/>
      <c r="G2" s="79"/>
    </row>
    <row r="3" spans="1:7" ht="15.75" x14ac:dyDescent="0.25">
      <c r="A3" s="10"/>
      <c r="B3" s="71"/>
      <c r="C3" s="170" t="s">
        <v>32</v>
      </c>
      <c r="D3" s="171"/>
      <c r="E3" s="171"/>
      <c r="F3" s="171"/>
      <c r="G3" s="77" t="s">
        <v>455</v>
      </c>
    </row>
    <row r="4" spans="1:7" ht="15.75" x14ac:dyDescent="0.25">
      <c r="A4" s="10"/>
      <c r="B4" s="71"/>
      <c r="C4" s="75"/>
      <c r="D4" s="76"/>
      <c r="E4" s="76"/>
      <c r="F4" s="76"/>
      <c r="G4" s="80"/>
    </row>
    <row r="5" spans="1:7" ht="15.75" x14ac:dyDescent="0.25">
      <c r="A5" s="10"/>
      <c r="B5" s="71"/>
      <c r="C5" s="75" t="s">
        <v>33</v>
      </c>
      <c r="D5" s="76"/>
      <c r="E5" s="76"/>
      <c r="F5" s="76"/>
      <c r="G5" s="82" t="s">
        <v>41</v>
      </c>
    </row>
    <row r="6" spans="1:7" ht="15.75" x14ac:dyDescent="0.25">
      <c r="A6" s="10"/>
      <c r="B6" s="71"/>
      <c r="C6" s="175" t="s">
        <v>446</v>
      </c>
      <c r="D6" s="176"/>
      <c r="E6" s="176"/>
      <c r="F6" s="176"/>
      <c r="G6" s="83" t="s">
        <v>50</v>
      </c>
    </row>
    <row r="7" spans="1:7" ht="15.75" x14ac:dyDescent="0.25">
      <c r="A7" s="11"/>
      <c r="B7" s="72"/>
      <c r="C7" s="177"/>
      <c r="D7" s="178"/>
      <c r="E7" s="178"/>
      <c r="F7" s="178"/>
      <c r="G7" s="81" t="s">
        <v>135</v>
      </c>
    </row>
    <row r="8" spans="1:7" ht="15.75" x14ac:dyDescent="0.25">
      <c r="A8" s="179" t="s">
        <v>456</v>
      </c>
      <c r="B8" s="180"/>
      <c r="C8" s="180"/>
      <c r="D8" s="180"/>
      <c r="E8" s="180"/>
      <c r="F8" s="180"/>
      <c r="G8" s="181"/>
    </row>
    <row r="9" spans="1:7" x14ac:dyDescent="0.25">
      <c r="A9" s="138"/>
      <c r="B9" s="173"/>
      <c r="C9" s="173"/>
      <c r="D9" s="173"/>
      <c r="E9" s="173"/>
      <c r="F9" s="173"/>
      <c r="G9" s="174"/>
    </row>
    <row r="10" spans="1:7" ht="15.75" x14ac:dyDescent="0.25">
      <c r="A10" s="139" t="s">
        <v>23</v>
      </c>
      <c r="B10" s="65" t="s">
        <v>0</v>
      </c>
      <c r="C10" s="65" t="s">
        <v>1</v>
      </c>
      <c r="D10" s="66" t="s">
        <v>2</v>
      </c>
      <c r="E10" s="67" t="s">
        <v>3</v>
      </c>
      <c r="F10" s="68" t="s">
        <v>4</v>
      </c>
      <c r="G10" s="68" t="s">
        <v>5</v>
      </c>
    </row>
    <row r="11" spans="1:7" ht="15.75" x14ac:dyDescent="0.25">
      <c r="A11" s="140"/>
      <c r="B11" s="23"/>
      <c r="C11" s="23"/>
      <c r="D11" s="23"/>
      <c r="E11" s="23"/>
      <c r="F11" s="23"/>
      <c r="G11" s="141"/>
    </row>
    <row r="12" spans="1:7" ht="15.75" x14ac:dyDescent="0.25">
      <c r="A12" s="24" t="s">
        <v>6</v>
      </c>
      <c r="B12" s="25"/>
      <c r="C12" s="26"/>
      <c r="D12" s="27"/>
      <c r="E12" s="28"/>
      <c r="F12" s="29"/>
      <c r="G12" s="30"/>
    </row>
    <row r="13" spans="1:7" ht="30" x14ac:dyDescent="0.25">
      <c r="A13" s="41" t="s">
        <v>24</v>
      </c>
      <c r="B13" s="42" t="s">
        <v>36</v>
      </c>
      <c r="C13" s="55" t="s">
        <v>34</v>
      </c>
      <c r="D13" s="32" t="s">
        <v>7</v>
      </c>
      <c r="E13" s="33">
        <v>510.35</v>
      </c>
      <c r="F13" s="34">
        <v>10</v>
      </c>
      <c r="G13" s="35">
        <f>ROUND(E13*F13,2)</f>
        <v>5103.5</v>
      </c>
    </row>
    <row r="14" spans="1:7" ht="30" x14ac:dyDescent="0.25">
      <c r="A14" s="41" t="s">
        <v>25</v>
      </c>
      <c r="B14" s="127" t="s">
        <v>37</v>
      </c>
      <c r="C14" s="61" t="s">
        <v>35</v>
      </c>
      <c r="D14" s="49" t="s">
        <v>7</v>
      </c>
      <c r="E14" s="110">
        <v>510.35</v>
      </c>
      <c r="F14" s="44">
        <v>3.04</v>
      </c>
      <c r="G14" s="111">
        <f>ROUND(E14*F14,2)</f>
        <v>1551.46</v>
      </c>
    </row>
    <row r="15" spans="1:7" ht="30" x14ac:dyDescent="0.25">
      <c r="A15" s="41" t="s">
        <v>26</v>
      </c>
      <c r="B15" s="42" t="s">
        <v>38</v>
      </c>
      <c r="C15" s="55" t="s">
        <v>382</v>
      </c>
      <c r="D15" s="32" t="s">
        <v>7</v>
      </c>
      <c r="E15" s="33">
        <v>510.35</v>
      </c>
      <c r="F15" s="34">
        <v>4.5599999999999996</v>
      </c>
      <c r="G15" s="35">
        <f>ROUND(E15*F15,2)</f>
        <v>2327.1999999999998</v>
      </c>
    </row>
    <row r="16" spans="1:7" s="3" customFormat="1" ht="30" x14ac:dyDescent="0.25">
      <c r="A16" s="41" t="s">
        <v>384</v>
      </c>
      <c r="B16" s="42" t="s">
        <v>39</v>
      </c>
      <c r="C16" s="55" t="s">
        <v>377</v>
      </c>
      <c r="D16" s="32" t="s">
        <v>7</v>
      </c>
      <c r="E16" s="33">
        <v>510.35</v>
      </c>
      <c r="F16" s="34">
        <v>3.04</v>
      </c>
      <c r="G16" s="35">
        <f>ROUND(E16*F16,2)</f>
        <v>1551.46</v>
      </c>
    </row>
    <row r="17" spans="1:7" ht="30" x14ac:dyDescent="0.25">
      <c r="A17" s="41" t="s">
        <v>27</v>
      </c>
      <c r="B17" s="42" t="s">
        <v>40</v>
      </c>
      <c r="C17" s="55" t="s">
        <v>378</v>
      </c>
      <c r="D17" s="32" t="s">
        <v>7</v>
      </c>
      <c r="E17" s="33">
        <v>269.07</v>
      </c>
      <c r="F17" s="34">
        <v>10.029999999999999</v>
      </c>
      <c r="G17" s="35">
        <f>ROUND(E17*F17,2)</f>
        <v>2698.77</v>
      </c>
    </row>
    <row r="18" spans="1:7" ht="15.75" x14ac:dyDescent="0.25">
      <c r="A18" s="100"/>
      <c r="B18" s="101"/>
      <c r="C18" s="102"/>
      <c r="D18" s="172" t="s">
        <v>8</v>
      </c>
      <c r="E18" s="172"/>
      <c r="F18" s="172"/>
      <c r="G18" s="99">
        <f>SUM(G13:G17)</f>
        <v>13232.39</v>
      </c>
    </row>
    <row r="19" spans="1:7" ht="15.75" x14ac:dyDescent="0.25">
      <c r="A19" s="142"/>
      <c r="B19" s="143"/>
      <c r="C19" s="144"/>
      <c r="D19" s="143"/>
      <c r="E19" s="143"/>
      <c r="F19" s="143"/>
      <c r="G19" s="145"/>
    </row>
    <row r="20" spans="1:7" ht="15.75" x14ac:dyDescent="0.25">
      <c r="A20" s="24" t="s">
        <v>19</v>
      </c>
      <c r="B20" s="25"/>
      <c r="C20" s="57"/>
      <c r="D20" s="69"/>
      <c r="E20" s="28"/>
      <c r="F20" s="29"/>
      <c r="G20" s="30"/>
    </row>
    <row r="21" spans="1:7" ht="30" x14ac:dyDescent="0.25">
      <c r="A21" s="31" t="s">
        <v>28</v>
      </c>
      <c r="B21" s="42" t="s">
        <v>42</v>
      </c>
      <c r="C21" s="55" t="s">
        <v>43</v>
      </c>
      <c r="D21" s="32" t="s">
        <v>7</v>
      </c>
      <c r="E21" s="39">
        <v>1</v>
      </c>
      <c r="F21" s="40">
        <v>264.14</v>
      </c>
      <c r="G21" s="35">
        <f>ROUND(E21*F21,2)</f>
        <v>264.14</v>
      </c>
    </row>
    <row r="22" spans="1:7" ht="15.75" x14ac:dyDescent="0.25">
      <c r="A22" s="100"/>
      <c r="B22" s="101"/>
      <c r="C22" s="102"/>
      <c r="D22" s="172" t="s">
        <v>20</v>
      </c>
      <c r="E22" s="172"/>
      <c r="F22" s="172"/>
      <c r="G22" s="38">
        <f>SUM(G21)</f>
        <v>264.14</v>
      </c>
    </row>
    <row r="23" spans="1:7" ht="15.75" x14ac:dyDescent="0.25">
      <c r="A23" s="142"/>
      <c r="B23" s="143"/>
      <c r="C23" s="144"/>
      <c r="D23" s="143"/>
      <c r="E23" s="143"/>
      <c r="F23" s="143"/>
      <c r="G23" s="145"/>
    </row>
    <row r="24" spans="1:7" ht="15.75" x14ac:dyDescent="0.25">
      <c r="A24" s="24" t="s">
        <v>215</v>
      </c>
      <c r="B24" s="25"/>
      <c r="C24" s="57"/>
      <c r="D24" s="27"/>
      <c r="E24" s="28"/>
      <c r="F24" s="29"/>
      <c r="G24" s="30"/>
    </row>
    <row r="25" spans="1:7" ht="48" x14ac:dyDescent="0.25">
      <c r="A25" s="41" t="s">
        <v>230</v>
      </c>
      <c r="B25" s="42" t="s">
        <v>46</v>
      </c>
      <c r="C25" s="58" t="s">
        <v>47</v>
      </c>
      <c r="D25" s="43" t="s">
        <v>49</v>
      </c>
      <c r="E25" s="47">
        <f>E26*30</f>
        <v>2878.0857000000005</v>
      </c>
      <c r="F25" s="40">
        <v>1.1399999999999999</v>
      </c>
      <c r="G25" s="35">
        <f>ROUND(E25*F25,2)</f>
        <v>3281.02</v>
      </c>
    </row>
    <row r="26" spans="1:7" ht="45" x14ac:dyDescent="0.25">
      <c r="A26" s="41" t="s">
        <v>231</v>
      </c>
      <c r="B26" s="42" t="s">
        <v>44</v>
      </c>
      <c r="C26" s="58" t="s">
        <v>45</v>
      </c>
      <c r="D26" s="43" t="s">
        <v>48</v>
      </c>
      <c r="E26" s="47">
        <f>E54</f>
        <v>95.936190000000011</v>
      </c>
      <c r="F26" s="40">
        <v>16.190000000000001</v>
      </c>
      <c r="G26" s="35">
        <f>ROUND(E26*F26,2)</f>
        <v>1553.21</v>
      </c>
    </row>
    <row r="27" spans="1:7" ht="15.75" x14ac:dyDescent="0.25">
      <c r="A27" s="100"/>
      <c r="B27" s="101"/>
      <c r="C27" s="102"/>
      <c r="D27" s="172" t="s">
        <v>393</v>
      </c>
      <c r="E27" s="172"/>
      <c r="F27" s="172"/>
      <c r="G27" s="38">
        <f>SUM(G25:G26)</f>
        <v>4834.2299999999996</v>
      </c>
    </row>
    <row r="28" spans="1:7" ht="15.75" x14ac:dyDescent="0.25">
      <c r="A28" s="142"/>
      <c r="B28" s="143"/>
      <c r="C28" s="144"/>
      <c r="D28" s="143"/>
      <c r="E28" s="143"/>
      <c r="F28" s="143"/>
      <c r="G28" s="145"/>
    </row>
    <row r="29" spans="1:7" ht="15.75" x14ac:dyDescent="0.25">
      <c r="A29" s="24" t="s">
        <v>216</v>
      </c>
      <c r="B29" s="25"/>
      <c r="C29" s="57"/>
      <c r="D29" s="27"/>
      <c r="E29" s="28"/>
      <c r="F29" s="29"/>
      <c r="G29" s="30"/>
    </row>
    <row r="30" spans="1:7" s="3" customFormat="1" ht="45" x14ac:dyDescent="0.25">
      <c r="A30" s="31" t="s">
        <v>29</v>
      </c>
      <c r="B30" s="42" t="s">
        <v>62</v>
      </c>
      <c r="C30" s="55" t="s">
        <v>57</v>
      </c>
      <c r="D30" s="32" t="s">
        <v>7</v>
      </c>
      <c r="E30" s="33">
        <f>4.55*2.8</f>
        <v>12.739999999999998</v>
      </c>
      <c r="F30" s="40">
        <v>29.16</v>
      </c>
      <c r="G30" s="35">
        <f t="shared" ref="G30:G65" si="0">ROUND(E30*F30,2)</f>
        <v>371.5</v>
      </c>
    </row>
    <row r="31" spans="1:7" ht="45" x14ac:dyDescent="0.25">
      <c r="A31" s="31" t="s">
        <v>30</v>
      </c>
      <c r="B31" s="42" t="s">
        <v>51</v>
      </c>
      <c r="C31" s="55" t="s">
        <v>52</v>
      </c>
      <c r="D31" s="32" t="s">
        <v>7</v>
      </c>
      <c r="E31" s="33">
        <v>12.38</v>
      </c>
      <c r="F31" s="40">
        <v>11.67</v>
      </c>
      <c r="G31" s="35">
        <f t="shared" si="0"/>
        <v>144.47</v>
      </c>
    </row>
    <row r="32" spans="1:7" ht="45" x14ac:dyDescent="0.25">
      <c r="A32" s="31" t="s">
        <v>232</v>
      </c>
      <c r="B32" s="42" t="s">
        <v>53</v>
      </c>
      <c r="C32" s="55" t="s">
        <v>54</v>
      </c>
      <c r="D32" s="32" t="s">
        <v>7</v>
      </c>
      <c r="E32" s="33">
        <v>198.44</v>
      </c>
      <c r="F32" s="40">
        <v>2.25</v>
      </c>
      <c r="G32" s="35">
        <f t="shared" si="0"/>
        <v>446.49</v>
      </c>
    </row>
    <row r="33" spans="1:12" s="3" customFormat="1" ht="30" x14ac:dyDescent="0.25">
      <c r="A33" s="31" t="s">
        <v>233</v>
      </c>
      <c r="B33" s="42" t="s">
        <v>55</v>
      </c>
      <c r="C33" s="55" t="s">
        <v>56</v>
      </c>
      <c r="D33" s="32" t="s">
        <v>7</v>
      </c>
      <c r="E33" s="33">
        <v>218.7</v>
      </c>
      <c r="F33" s="34">
        <v>12.02</v>
      </c>
      <c r="G33" s="35">
        <f t="shared" si="0"/>
        <v>2628.77</v>
      </c>
    </row>
    <row r="34" spans="1:12" s="3" customFormat="1" ht="60" x14ac:dyDescent="0.25">
      <c r="A34" s="31" t="s">
        <v>234</v>
      </c>
      <c r="B34" s="42" t="s">
        <v>59</v>
      </c>
      <c r="C34" s="55" t="s">
        <v>58</v>
      </c>
      <c r="D34" s="32" t="s">
        <v>7</v>
      </c>
      <c r="E34" s="33">
        <f>28.87+3.83</f>
        <v>32.700000000000003</v>
      </c>
      <c r="F34" s="40">
        <v>18.09</v>
      </c>
      <c r="G34" s="35">
        <f t="shared" si="0"/>
        <v>591.54</v>
      </c>
    </row>
    <row r="35" spans="1:12" ht="60" x14ac:dyDescent="0.25">
      <c r="A35" s="31" t="s">
        <v>235</v>
      </c>
      <c r="B35" s="42" t="s">
        <v>61</v>
      </c>
      <c r="C35" s="55" t="s">
        <v>60</v>
      </c>
      <c r="D35" s="32" t="s">
        <v>7</v>
      </c>
      <c r="E35" s="33">
        <v>16.489999999999998</v>
      </c>
      <c r="F35" s="40">
        <v>7.32</v>
      </c>
      <c r="G35" s="35">
        <f t="shared" si="0"/>
        <v>120.71</v>
      </c>
    </row>
    <row r="36" spans="1:12" s="3" customFormat="1" ht="45" x14ac:dyDescent="0.25">
      <c r="A36" s="31" t="s">
        <v>236</v>
      </c>
      <c r="B36" s="42" t="s">
        <v>63</v>
      </c>
      <c r="C36" s="55" t="s">
        <v>64</v>
      </c>
      <c r="D36" s="32" t="s">
        <v>48</v>
      </c>
      <c r="E36" s="33">
        <v>2.4700000000000002</v>
      </c>
      <c r="F36" s="40">
        <v>177.77</v>
      </c>
      <c r="G36" s="35">
        <f t="shared" si="0"/>
        <v>439.09</v>
      </c>
    </row>
    <row r="37" spans="1:12" s="3" customFormat="1" ht="45" x14ac:dyDescent="0.25">
      <c r="A37" s="31" t="s">
        <v>237</v>
      </c>
      <c r="B37" s="42" t="s">
        <v>65</v>
      </c>
      <c r="C37" s="55" t="s">
        <v>66</v>
      </c>
      <c r="D37" s="32" t="s">
        <v>7</v>
      </c>
      <c r="E37" s="33">
        <f>1.88*2</f>
        <v>3.76</v>
      </c>
      <c r="F37" s="40">
        <v>9.67</v>
      </c>
      <c r="G37" s="35">
        <f t="shared" si="0"/>
        <v>36.36</v>
      </c>
    </row>
    <row r="38" spans="1:12" s="3" customFormat="1" ht="45" x14ac:dyDescent="0.25">
      <c r="A38" s="31" t="s">
        <v>238</v>
      </c>
      <c r="B38" s="42" t="s">
        <v>67</v>
      </c>
      <c r="C38" s="55" t="s">
        <v>68</v>
      </c>
      <c r="D38" s="32" t="s">
        <v>7</v>
      </c>
      <c r="E38" s="33">
        <f>819.46-E39</f>
        <v>506.67</v>
      </c>
      <c r="F38" s="40">
        <v>6.37</v>
      </c>
      <c r="G38" s="35">
        <f t="shared" si="0"/>
        <v>3227.49</v>
      </c>
    </row>
    <row r="39" spans="1:12" s="3" customFormat="1" ht="45" x14ac:dyDescent="0.25">
      <c r="A39" s="31" t="s">
        <v>239</v>
      </c>
      <c r="B39" s="42" t="s">
        <v>69</v>
      </c>
      <c r="C39" s="55" t="s">
        <v>70</v>
      </c>
      <c r="D39" s="32" t="s">
        <v>7</v>
      </c>
      <c r="E39" s="33">
        <f>312.79</f>
        <v>312.79000000000002</v>
      </c>
      <c r="F39" s="40">
        <v>19.149999999999999</v>
      </c>
      <c r="G39" s="35">
        <f t="shared" si="0"/>
        <v>5989.93</v>
      </c>
    </row>
    <row r="40" spans="1:12" s="3" customFormat="1" ht="45" x14ac:dyDescent="0.25">
      <c r="A40" s="31" t="s">
        <v>240</v>
      </c>
      <c r="B40" s="42" t="s">
        <v>71</v>
      </c>
      <c r="C40" s="55" t="s">
        <v>72</v>
      </c>
      <c r="D40" s="32" t="s">
        <v>7</v>
      </c>
      <c r="E40" s="33">
        <v>239.6</v>
      </c>
      <c r="F40" s="40">
        <v>1.8</v>
      </c>
      <c r="G40" s="35">
        <f t="shared" si="0"/>
        <v>431.28</v>
      </c>
      <c r="H40"/>
      <c r="I40"/>
      <c r="J40"/>
      <c r="K40"/>
      <c r="L40"/>
    </row>
    <row r="41" spans="1:12" s="3" customFormat="1" ht="30" x14ac:dyDescent="0.25">
      <c r="A41" s="31" t="s">
        <v>241</v>
      </c>
      <c r="B41" s="42" t="s">
        <v>127</v>
      </c>
      <c r="C41" s="61" t="s">
        <v>128</v>
      </c>
      <c r="D41" s="32" t="s">
        <v>10</v>
      </c>
      <c r="E41" s="39">
        <f>32+23</f>
        <v>55</v>
      </c>
      <c r="F41" s="34">
        <v>8.4</v>
      </c>
      <c r="G41" s="35">
        <f t="shared" si="0"/>
        <v>462</v>
      </c>
    </row>
    <row r="42" spans="1:12" s="3" customFormat="1" ht="30" x14ac:dyDescent="0.25">
      <c r="A42" s="31" t="s">
        <v>242</v>
      </c>
      <c r="B42" s="42" t="s">
        <v>161</v>
      </c>
      <c r="C42" s="61" t="s">
        <v>155</v>
      </c>
      <c r="D42" s="32" t="s">
        <v>10</v>
      </c>
      <c r="E42" s="39">
        <v>2</v>
      </c>
      <c r="F42" s="34">
        <v>100.62</v>
      </c>
      <c r="G42" s="35">
        <f t="shared" si="0"/>
        <v>201.24</v>
      </c>
    </row>
    <row r="43" spans="1:12" s="3" customFormat="1" ht="30" x14ac:dyDescent="0.25">
      <c r="A43" s="31" t="s">
        <v>243</v>
      </c>
      <c r="B43" s="42" t="s">
        <v>162</v>
      </c>
      <c r="C43" s="61" t="s">
        <v>376</v>
      </c>
      <c r="D43" s="32" t="s">
        <v>10</v>
      </c>
      <c r="E43" s="39">
        <v>106</v>
      </c>
      <c r="F43" s="34">
        <v>23.74</v>
      </c>
      <c r="G43" s="35">
        <f t="shared" si="0"/>
        <v>2516.44</v>
      </c>
    </row>
    <row r="44" spans="1:12" s="3" customFormat="1" ht="30" x14ac:dyDescent="0.25">
      <c r="A44" s="31" t="s">
        <v>244</v>
      </c>
      <c r="B44" s="42" t="s">
        <v>340</v>
      </c>
      <c r="C44" s="55" t="s">
        <v>75</v>
      </c>
      <c r="D44" s="32" t="s">
        <v>7</v>
      </c>
      <c r="E44" s="39">
        <v>137.13</v>
      </c>
      <c r="F44" s="34">
        <v>16.27</v>
      </c>
      <c r="G44" s="35">
        <f t="shared" si="0"/>
        <v>2231.11</v>
      </c>
      <c r="H44"/>
      <c r="I44"/>
      <c r="J44"/>
      <c r="K44"/>
      <c r="L44"/>
    </row>
    <row r="45" spans="1:12" s="98" customFormat="1" ht="30" x14ac:dyDescent="0.25">
      <c r="A45" s="31" t="s">
        <v>245</v>
      </c>
      <c r="B45" s="132" t="s">
        <v>73</v>
      </c>
      <c r="C45" s="93" t="s">
        <v>74</v>
      </c>
      <c r="D45" s="94" t="s">
        <v>7</v>
      </c>
      <c r="E45" s="95">
        <f>E44</f>
        <v>137.13</v>
      </c>
      <c r="F45" s="96">
        <v>36.630000000000003</v>
      </c>
      <c r="G45" s="97">
        <f t="shared" si="0"/>
        <v>5023.07</v>
      </c>
      <c r="H45"/>
      <c r="I45"/>
      <c r="J45"/>
      <c r="K45"/>
      <c r="L45"/>
    </row>
    <row r="46" spans="1:12" s="3" customFormat="1" ht="45" x14ac:dyDescent="0.25">
      <c r="A46" s="31" t="s">
        <v>246</v>
      </c>
      <c r="B46" s="42" t="s">
        <v>78</v>
      </c>
      <c r="C46" s="55" t="s">
        <v>79</v>
      </c>
      <c r="D46" s="32" t="s">
        <v>7</v>
      </c>
      <c r="E46" s="33">
        <f>0.48+(22.34*0.15)+(25.54*0.15)</f>
        <v>7.661999999999999</v>
      </c>
      <c r="F46" s="40">
        <v>24.61</v>
      </c>
      <c r="G46" s="35">
        <f t="shared" si="0"/>
        <v>188.56</v>
      </c>
      <c r="H46"/>
      <c r="I46"/>
      <c r="J46"/>
      <c r="K46"/>
      <c r="L46"/>
    </row>
    <row r="47" spans="1:12" ht="45" x14ac:dyDescent="0.25">
      <c r="A47" s="31" t="s">
        <v>247</v>
      </c>
      <c r="B47" s="42" t="s">
        <v>76</v>
      </c>
      <c r="C47" s="55" t="s">
        <v>77</v>
      </c>
      <c r="D47" s="32" t="s">
        <v>7</v>
      </c>
      <c r="E47" s="33">
        <f>48.4*0.4</f>
        <v>19.36</v>
      </c>
      <c r="F47" s="40">
        <v>4.29</v>
      </c>
      <c r="G47" s="35">
        <f t="shared" si="0"/>
        <v>83.05</v>
      </c>
    </row>
    <row r="48" spans="1:12" ht="45" x14ac:dyDescent="0.25">
      <c r="A48" s="31" t="s">
        <v>248</v>
      </c>
      <c r="B48" s="42" t="s">
        <v>80</v>
      </c>
      <c r="C48" s="55" t="s">
        <v>82</v>
      </c>
      <c r="D48" s="32" t="s">
        <v>10</v>
      </c>
      <c r="E48" s="33">
        <v>22</v>
      </c>
      <c r="F48" s="40">
        <v>7.98</v>
      </c>
      <c r="G48" s="35">
        <f t="shared" si="0"/>
        <v>175.56</v>
      </c>
    </row>
    <row r="49" spans="1:12" s="3" customFormat="1" ht="45" x14ac:dyDescent="0.25">
      <c r="A49" s="31" t="s">
        <v>249</v>
      </c>
      <c r="B49" s="42" t="s">
        <v>81</v>
      </c>
      <c r="C49" s="55" t="s">
        <v>83</v>
      </c>
      <c r="D49" s="32" t="s">
        <v>10</v>
      </c>
      <c r="E49" s="33">
        <v>22</v>
      </c>
      <c r="F49" s="40">
        <v>38.520000000000003</v>
      </c>
      <c r="G49" s="35">
        <f t="shared" si="0"/>
        <v>847.44</v>
      </c>
      <c r="H49" s="85"/>
      <c r="I49" s="85"/>
      <c r="J49" s="85"/>
      <c r="K49" s="85"/>
      <c r="L49" s="92"/>
    </row>
    <row r="50" spans="1:12" s="3" customFormat="1" ht="30" x14ac:dyDescent="0.25">
      <c r="A50" s="31" t="s">
        <v>250</v>
      </c>
      <c r="B50" s="42" t="s">
        <v>447</v>
      </c>
      <c r="C50" s="55" t="s">
        <v>84</v>
      </c>
      <c r="D50" s="32" t="s">
        <v>10</v>
      </c>
      <c r="E50" s="33">
        <v>8</v>
      </c>
      <c r="F50" s="40">
        <v>164.15</v>
      </c>
      <c r="G50" s="35">
        <f t="shared" si="0"/>
        <v>1313.2</v>
      </c>
      <c r="H50" s="85"/>
      <c r="I50" s="85"/>
      <c r="J50" s="85"/>
      <c r="K50" s="85"/>
      <c r="L50" s="92"/>
    </row>
    <row r="51" spans="1:12" ht="45" x14ac:dyDescent="0.25">
      <c r="A51" s="31" t="s">
        <v>251</v>
      </c>
      <c r="B51" s="42" t="s">
        <v>85</v>
      </c>
      <c r="C51" s="55" t="s">
        <v>86</v>
      </c>
      <c r="D51" s="32" t="s">
        <v>10</v>
      </c>
      <c r="E51" s="33">
        <v>106</v>
      </c>
      <c r="F51" s="40">
        <v>4.03</v>
      </c>
      <c r="G51" s="35">
        <f t="shared" si="0"/>
        <v>427.18</v>
      </c>
      <c r="H51" s="85"/>
      <c r="I51" s="85"/>
      <c r="J51" s="84"/>
      <c r="K51" s="85"/>
    </row>
    <row r="52" spans="1:12" s="3" customFormat="1" ht="45" x14ac:dyDescent="0.25">
      <c r="A52" s="31" t="s">
        <v>252</v>
      </c>
      <c r="B52" s="42" t="s">
        <v>87</v>
      </c>
      <c r="C52" s="55" t="s">
        <v>88</v>
      </c>
      <c r="D52" s="32" t="s">
        <v>10</v>
      </c>
      <c r="E52" s="33">
        <v>46</v>
      </c>
      <c r="F52" s="40">
        <v>10.14</v>
      </c>
      <c r="G52" s="35">
        <f t="shared" si="0"/>
        <v>466.44</v>
      </c>
      <c r="H52" s="85"/>
      <c r="I52" s="87"/>
      <c r="J52" s="87"/>
      <c r="K52" s="88"/>
    </row>
    <row r="53" spans="1:12" ht="30" x14ac:dyDescent="0.25">
      <c r="A53" s="31" t="s">
        <v>253</v>
      </c>
      <c r="B53" s="127" t="s">
        <v>176</v>
      </c>
      <c r="C53" s="61" t="s">
        <v>175</v>
      </c>
      <c r="D53" s="49" t="s">
        <v>9</v>
      </c>
      <c r="E53" s="110">
        <f>1.5*(E36+(0.03*(E31+E33+E34+E35+E37+E46+E47))+(0.02*E32)+(0.05*(+E40+E30))+(0.1*E39)+(0.8*2.1*0.03*E48)+(1*0.3*0.1*E51)+(E52*0.1*0.05*0.01))</f>
        <v>95.936190000000011</v>
      </c>
      <c r="F53" s="40">
        <v>47.64</v>
      </c>
      <c r="G53" s="35">
        <f t="shared" si="0"/>
        <v>4570.3999999999996</v>
      </c>
      <c r="H53" s="85"/>
      <c r="I53" s="90"/>
      <c r="J53" s="91"/>
      <c r="K53" s="90"/>
    </row>
    <row r="54" spans="1:12" s="3" customFormat="1" ht="45" x14ac:dyDescent="0.25">
      <c r="A54" s="31" t="s">
        <v>254</v>
      </c>
      <c r="B54" s="42" t="s">
        <v>89</v>
      </c>
      <c r="C54" s="58" t="s">
        <v>90</v>
      </c>
      <c r="D54" s="43" t="s">
        <v>9</v>
      </c>
      <c r="E54" s="39">
        <f>E53</f>
        <v>95.936190000000011</v>
      </c>
      <c r="F54" s="40">
        <v>43.42</v>
      </c>
      <c r="G54" s="35">
        <f t="shared" si="0"/>
        <v>4165.55</v>
      </c>
      <c r="H54" s="85"/>
      <c r="I54" s="90"/>
      <c r="J54" s="91"/>
      <c r="K54" s="90"/>
    </row>
    <row r="55" spans="1:12" ht="60" x14ac:dyDescent="0.25">
      <c r="A55" s="31" t="s">
        <v>255</v>
      </c>
      <c r="B55" s="42" t="s">
        <v>91</v>
      </c>
      <c r="C55" s="55" t="s">
        <v>92</v>
      </c>
      <c r="D55" s="32" t="s">
        <v>7</v>
      </c>
      <c r="E55" s="33">
        <v>149.63</v>
      </c>
      <c r="F55" s="40">
        <v>8.9700000000000006</v>
      </c>
      <c r="G55" s="35">
        <f t="shared" si="0"/>
        <v>1342.18</v>
      </c>
      <c r="H55" s="85"/>
      <c r="I55" s="90"/>
      <c r="J55" s="91"/>
      <c r="K55" s="90"/>
    </row>
    <row r="56" spans="1:12" ht="60" x14ac:dyDescent="0.25">
      <c r="A56" s="31" t="s">
        <v>256</v>
      </c>
      <c r="B56" s="42" t="s">
        <v>94</v>
      </c>
      <c r="C56" s="55" t="s">
        <v>93</v>
      </c>
      <c r="D56" s="32" t="s">
        <v>21</v>
      </c>
      <c r="E56" s="33">
        <f>E81</f>
        <v>410.82</v>
      </c>
      <c r="F56" s="40">
        <v>8.57</v>
      </c>
      <c r="G56" s="35">
        <f t="shared" si="0"/>
        <v>3520.73</v>
      </c>
    </row>
    <row r="57" spans="1:12" ht="60" x14ac:dyDescent="0.25">
      <c r="A57" s="31" t="s">
        <v>257</v>
      </c>
      <c r="B57" s="42" t="s">
        <v>95</v>
      </c>
      <c r="C57" s="55" t="s">
        <v>96</v>
      </c>
      <c r="D57" s="32" t="s">
        <v>10</v>
      </c>
      <c r="E57" s="33">
        <v>32</v>
      </c>
      <c r="F57" s="40">
        <v>19.72</v>
      </c>
      <c r="G57" s="35">
        <f t="shared" si="0"/>
        <v>631.04</v>
      </c>
    </row>
    <row r="58" spans="1:12" s="3" customFormat="1" ht="60" x14ac:dyDescent="0.25">
      <c r="A58" s="31" t="s">
        <v>258</v>
      </c>
      <c r="B58" s="42" t="s">
        <v>97</v>
      </c>
      <c r="C58" s="55" t="s">
        <v>98</v>
      </c>
      <c r="D58" s="32" t="s">
        <v>7</v>
      </c>
      <c r="E58" s="33">
        <v>142.5</v>
      </c>
      <c r="F58" s="40">
        <v>4.72</v>
      </c>
      <c r="G58" s="35">
        <f t="shared" si="0"/>
        <v>672.6</v>
      </c>
    </row>
    <row r="59" spans="1:12" ht="60" x14ac:dyDescent="0.25">
      <c r="A59" s="31" t="s">
        <v>259</v>
      </c>
      <c r="B59" s="42" t="s">
        <v>99</v>
      </c>
      <c r="C59" s="59" t="s">
        <v>100</v>
      </c>
      <c r="D59" s="32" t="s">
        <v>7</v>
      </c>
      <c r="E59" s="33">
        <f>E73+E75+E76</f>
        <v>424.54999999999995</v>
      </c>
      <c r="F59" s="40">
        <v>18.489999999999998</v>
      </c>
      <c r="G59" s="35">
        <f t="shared" si="0"/>
        <v>7849.93</v>
      </c>
    </row>
    <row r="60" spans="1:12" ht="60" x14ac:dyDescent="0.25">
      <c r="A60" s="31" t="s">
        <v>260</v>
      </c>
      <c r="B60" s="42" t="s">
        <v>108</v>
      </c>
      <c r="C60" s="59" t="s">
        <v>101</v>
      </c>
      <c r="D60" s="32" t="s">
        <v>7</v>
      </c>
      <c r="E60" s="33">
        <f>22.02</f>
        <v>22.02</v>
      </c>
      <c r="F60" s="40">
        <v>16</v>
      </c>
      <c r="G60" s="35">
        <f t="shared" si="0"/>
        <v>352.32</v>
      </c>
    </row>
    <row r="61" spans="1:12" ht="30" x14ac:dyDescent="0.25">
      <c r="A61" s="31" t="s">
        <v>261</v>
      </c>
      <c r="B61" s="133" t="s">
        <v>338</v>
      </c>
      <c r="C61" s="113" t="s">
        <v>375</v>
      </c>
      <c r="D61" s="43" t="s">
        <v>9</v>
      </c>
      <c r="E61" s="125">
        <v>43</v>
      </c>
      <c r="F61" s="115">
        <v>22.68</v>
      </c>
      <c r="G61" s="126">
        <f t="shared" si="0"/>
        <v>975.24</v>
      </c>
    </row>
    <row r="62" spans="1:12" s="3" customFormat="1" ht="45" x14ac:dyDescent="0.25">
      <c r="A62" s="31" t="s">
        <v>262</v>
      </c>
      <c r="B62" s="133" t="s">
        <v>102</v>
      </c>
      <c r="C62" s="59" t="s">
        <v>104</v>
      </c>
      <c r="D62" s="45" t="s">
        <v>16</v>
      </c>
      <c r="E62" s="46">
        <f>6*22*6</f>
        <v>792</v>
      </c>
      <c r="F62" s="115">
        <v>15.71</v>
      </c>
      <c r="G62" s="35">
        <f t="shared" si="0"/>
        <v>12442.32</v>
      </c>
    </row>
    <row r="63" spans="1:12" s="3" customFormat="1" ht="45" x14ac:dyDescent="0.25">
      <c r="A63" s="31" t="s">
        <v>263</v>
      </c>
      <c r="B63" s="133" t="s">
        <v>103</v>
      </c>
      <c r="C63" s="55" t="s">
        <v>105</v>
      </c>
      <c r="D63" s="32" t="s">
        <v>16</v>
      </c>
      <c r="E63" s="46">
        <f>2*22*6</f>
        <v>264</v>
      </c>
      <c r="F63" s="115">
        <v>79.709999999999994</v>
      </c>
      <c r="G63" s="35">
        <f t="shared" si="0"/>
        <v>21043.439999999999</v>
      </c>
    </row>
    <row r="64" spans="1:12" ht="45" x14ac:dyDescent="0.25">
      <c r="A64" s="159" t="s">
        <v>264</v>
      </c>
      <c r="B64" s="160" t="s">
        <v>106</v>
      </c>
      <c r="C64" s="161" t="s">
        <v>107</v>
      </c>
      <c r="D64" s="162" t="s">
        <v>16</v>
      </c>
      <c r="E64" s="163">
        <f>2*22*6</f>
        <v>264</v>
      </c>
      <c r="F64" s="164">
        <v>21.09</v>
      </c>
      <c r="G64" s="165">
        <f t="shared" si="0"/>
        <v>5567.76</v>
      </c>
    </row>
    <row r="65" spans="1:13" ht="30" x14ac:dyDescent="0.25">
      <c r="A65" s="154" t="s">
        <v>265</v>
      </c>
      <c r="B65" s="135" t="s">
        <v>387</v>
      </c>
      <c r="C65" s="155" t="s">
        <v>388</v>
      </c>
      <c r="D65" s="156" t="s">
        <v>389</v>
      </c>
      <c r="E65" s="103">
        <v>6</v>
      </c>
      <c r="F65" s="157">
        <v>2395.77</v>
      </c>
      <c r="G65" s="158">
        <f t="shared" si="0"/>
        <v>14374.62</v>
      </c>
    </row>
    <row r="66" spans="1:13" ht="15.75" x14ac:dyDescent="0.25">
      <c r="A66" s="100"/>
      <c r="B66" s="101"/>
      <c r="C66" s="102"/>
      <c r="D66" s="172" t="s">
        <v>18</v>
      </c>
      <c r="E66" s="172"/>
      <c r="F66" s="172"/>
      <c r="G66" s="38">
        <f>SUM(G30:G65)</f>
        <v>105871.04999999999</v>
      </c>
    </row>
    <row r="67" spans="1:13" ht="15.75" x14ac:dyDescent="0.25">
      <c r="A67" s="146"/>
      <c r="B67" s="48"/>
      <c r="C67" s="60"/>
      <c r="D67" s="48"/>
      <c r="E67" s="48"/>
      <c r="F67" s="48"/>
      <c r="G67" s="147"/>
    </row>
    <row r="68" spans="1:13" s="3" customFormat="1" ht="15.75" x14ac:dyDescent="0.25">
      <c r="A68" s="24" t="s">
        <v>217</v>
      </c>
      <c r="B68" s="25"/>
      <c r="C68" s="57"/>
      <c r="D68" s="27"/>
      <c r="E68" s="28"/>
      <c r="F68" s="29"/>
      <c r="G68" s="30"/>
    </row>
    <row r="69" spans="1:13" s="3" customFormat="1" ht="45" x14ac:dyDescent="0.25">
      <c r="A69" s="31" t="s">
        <v>31</v>
      </c>
      <c r="B69" s="42" t="s">
        <v>109</v>
      </c>
      <c r="C69" s="55" t="s">
        <v>110</v>
      </c>
      <c r="D69" s="32" t="s">
        <v>7</v>
      </c>
      <c r="E69" s="33">
        <v>311.20999999999998</v>
      </c>
      <c r="F69" s="34">
        <v>76.06</v>
      </c>
      <c r="G69" s="35">
        <f>ROUND(E69*F69,2)</f>
        <v>23670.63</v>
      </c>
    </row>
    <row r="70" spans="1:13" ht="15.75" x14ac:dyDescent="0.25">
      <c r="A70" s="100"/>
      <c r="B70" s="101"/>
      <c r="C70" s="102"/>
      <c r="D70" s="172" t="s">
        <v>11</v>
      </c>
      <c r="E70" s="172"/>
      <c r="F70" s="172"/>
      <c r="G70" s="38">
        <f>SUM(G69)</f>
        <v>23670.63</v>
      </c>
    </row>
    <row r="71" spans="1:13" s="3" customFormat="1" x14ac:dyDescent="0.25">
      <c r="A71" s="148"/>
      <c r="B71" s="149"/>
      <c r="C71" s="149"/>
      <c r="D71" s="149"/>
      <c r="E71" s="149"/>
      <c r="F71" s="149"/>
      <c r="G71" s="150"/>
    </row>
    <row r="72" spans="1:13" s="12" customFormat="1" ht="15.75" x14ac:dyDescent="0.25">
      <c r="A72" s="24" t="s">
        <v>218</v>
      </c>
      <c r="B72" s="25"/>
      <c r="C72" s="57"/>
      <c r="D72" s="27"/>
      <c r="E72" s="28"/>
      <c r="F72" s="29"/>
      <c r="G72" s="30"/>
      <c r="H72"/>
      <c r="I72"/>
      <c r="J72"/>
    </row>
    <row r="73" spans="1:13" s="12" customFormat="1" ht="60" x14ac:dyDescent="0.25">
      <c r="A73" s="31" t="s">
        <v>268</v>
      </c>
      <c r="B73" s="127" t="s">
        <v>153</v>
      </c>
      <c r="C73" s="61" t="s">
        <v>111</v>
      </c>
      <c r="D73" s="49" t="s">
        <v>7</v>
      </c>
      <c r="E73" s="53">
        <v>4.1500000000000004</v>
      </c>
      <c r="F73" s="116">
        <v>26.27</v>
      </c>
      <c r="G73" s="35">
        <f t="shared" ref="G73:G82" si="1">ROUND(E73*F73,2)</f>
        <v>109.02</v>
      </c>
    </row>
    <row r="74" spans="1:13" s="12" customFormat="1" ht="45" x14ac:dyDescent="0.25">
      <c r="A74" s="31" t="s">
        <v>269</v>
      </c>
      <c r="B74" s="134" t="s">
        <v>112</v>
      </c>
      <c r="C74" s="64" t="s">
        <v>113</v>
      </c>
      <c r="D74" s="49" t="s">
        <v>7</v>
      </c>
      <c r="E74" s="33">
        <f>(5.06+10)*2</f>
        <v>30.119999999999997</v>
      </c>
      <c r="F74" s="40">
        <v>22.29</v>
      </c>
      <c r="G74" s="35">
        <f t="shared" si="1"/>
        <v>671.37</v>
      </c>
    </row>
    <row r="75" spans="1:13" s="12" customFormat="1" ht="30" x14ac:dyDescent="0.25">
      <c r="A75" s="31" t="s">
        <v>270</v>
      </c>
      <c r="B75" s="133" t="s">
        <v>114</v>
      </c>
      <c r="C75" s="59" t="s">
        <v>115</v>
      </c>
      <c r="D75" s="45" t="s">
        <v>7</v>
      </c>
      <c r="E75" s="33">
        <f>420.4-E76</f>
        <v>396.57</v>
      </c>
      <c r="F75" s="40">
        <v>92.15</v>
      </c>
      <c r="G75" s="35">
        <f t="shared" si="1"/>
        <v>36543.93</v>
      </c>
    </row>
    <row r="76" spans="1:13" ht="105" x14ac:dyDescent="0.25">
      <c r="A76" s="31" t="s">
        <v>271</v>
      </c>
      <c r="B76" s="134" t="s">
        <v>133</v>
      </c>
      <c r="C76" s="59" t="s">
        <v>137</v>
      </c>
      <c r="D76" s="45" t="s">
        <v>7</v>
      </c>
      <c r="E76" s="103">
        <v>23.83</v>
      </c>
      <c r="F76" s="117">
        <v>832.73</v>
      </c>
      <c r="G76" s="35">
        <f t="shared" si="1"/>
        <v>19843.96</v>
      </c>
      <c r="H76" s="166"/>
      <c r="I76" s="166"/>
      <c r="J76" s="166"/>
      <c r="K76" s="166"/>
      <c r="L76" s="166"/>
      <c r="M76" s="166"/>
    </row>
    <row r="77" spans="1:13" s="3" customFormat="1" ht="60" x14ac:dyDescent="0.25">
      <c r="A77" s="31" t="s">
        <v>272</v>
      </c>
      <c r="B77" s="127" t="s">
        <v>117</v>
      </c>
      <c r="C77" s="61" t="s">
        <v>116</v>
      </c>
      <c r="D77" s="49" t="s">
        <v>7</v>
      </c>
      <c r="E77" s="103">
        <v>6.18</v>
      </c>
      <c r="F77" s="117">
        <v>24.03</v>
      </c>
      <c r="G77" s="35">
        <f t="shared" si="1"/>
        <v>148.51</v>
      </c>
      <c r="H77" s="166"/>
      <c r="I77" s="166"/>
      <c r="J77" s="166"/>
      <c r="K77" s="166"/>
      <c r="L77" s="166"/>
      <c r="M77" s="166"/>
    </row>
    <row r="78" spans="1:13" s="12" customFormat="1" ht="30" x14ac:dyDescent="0.25">
      <c r="A78" s="31" t="s">
        <v>273</v>
      </c>
      <c r="B78" s="127" t="s">
        <v>132</v>
      </c>
      <c r="C78" s="61" t="s">
        <v>381</v>
      </c>
      <c r="D78" s="49" t="s">
        <v>7</v>
      </c>
      <c r="E78" s="103">
        <v>6.18</v>
      </c>
      <c r="F78" s="117">
        <v>28.7</v>
      </c>
      <c r="G78" s="35">
        <f t="shared" si="1"/>
        <v>177.37</v>
      </c>
      <c r="H78" s="167"/>
      <c r="I78" s="167"/>
      <c r="J78" s="167"/>
      <c r="K78" s="167"/>
      <c r="L78" s="167"/>
      <c r="M78" s="167"/>
    </row>
    <row r="79" spans="1:13" s="12" customFormat="1" ht="45" x14ac:dyDescent="0.25">
      <c r="A79" s="31" t="s">
        <v>274</v>
      </c>
      <c r="B79" s="127" t="s">
        <v>118</v>
      </c>
      <c r="C79" s="62" t="s">
        <v>119</v>
      </c>
      <c r="D79" s="128" t="s">
        <v>13</v>
      </c>
      <c r="E79" s="47">
        <v>373.51</v>
      </c>
      <c r="F79" s="116">
        <v>18.059999999999999</v>
      </c>
      <c r="G79" s="126">
        <f t="shared" si="1"/>
        <v>6745.59</v>
      </c>
      <c r="H79" s="167"/>
      <c r="I79" s="167"/>
      <c r="J79" s="167"/>
      <c r="K79" s="167"/>
      <c r="L79" s="167"/>
      <c r="M79" s="167"/>
    </row>
    <row r="80" spans="1:13" s="12" customFormat="1" ht="30" x14ac:dyDescent="0.25">
      <c r="A80" s="31" t="s">
        <v>275</v>
      </c>
      <c r="B80" s="127" t="s">
        <v>120</v>
      </c>
      <c r="C80" s="62" t="s">
        <v>383</v>
      </c>
      <c r="D80" s="49" t="s">
        <v>7</v>
      </c>
      <c r="E80" s="50">
        <v>218.7</v>
      </c>
      <c r="F80" s="116">
        <v>329.62</v>
      </c>
      <c r="G80" s="35">
        <f t="shared" si="1"/>
        <v>72087.89</v>
      </c>
      <c r="H80" s="167"/>
      <c r="I80" s="167"/>
      <c r="J80" s="167"/>
      <c r="K80" s="167"/>
      <c r="L80" s="167"/>
      <c r="M80" s="167"/>
    </row>
    <row r="81" spans="1:13" s="12" customFormat="1" ht="60" x14ac:dyDescent="0.25">
      <c r="A81" s="31" t="s">
        <v>276</v>
      </c>
      <c r="B81" s="134" t="s">
        <v>133</v>
      </c>
      <c r="C81" s="62" t="s">
        <v>136</v>
      </c>
      <c r="D81" s="49" t="s">
        <v>7</v>
      </c>
      <c r="E81" s="50">
        <v>410.82</v>
      </c>
      <c r="F81" s="116">
        <v>222.77</v>
      </c>
      <c r="G81" s="35">
        <f t="shared" si="1"/>
        <v>91518.37</v>
      </c>
      <c r="H81" s="167"/>
      <c r="I81" s="167"/>
      <c r="J81" s="167"/>
      <c r="K81" s="167"/>
      <c r="L81" s="167"/>
      <c r="M81" s="167"/>
    </row>
    <row r="82" spans="1:13" ht="45" x14ac:dyDescent="0.25">
      <c r="A82" s="31" t="s">
        <v>277</v>
      </c>
      <c r="B82" s="134" t="s">
        <v>133</v>
      </c>
      <c r="C82" s="109" t="s">
        <v>138</v>
      </c>
      <c r="D82" s="49" t="s">
        <v>7</v>
      </c>
      <c r="E82" s="50">
        <v>51.25</v>
      </c>
      <c r="F82" s="116">
        <v>196.22</v>
      </c>
      <c r="G82" s="35">
        <f t="shared" si="1"/>
        <v>10056.280000000001</v>
      </c>
      <c r="H82" s="166"/>
      <c r="I82" s="166"/>
      <c r="J82" s="166"/>
      <c r="K82" s="166"/>
      <c r="L82" s="166"/>
      <c r="M82" s="166"/>
    </row>
    <row r="83" spans="1:13" ht="15.75" x14ac:dyDescent="0.25">
      <c r="A83" s="36"/>
      <c r="B83" s="37"/>
      <c r="C83" s="56"/>
      <c r="D83" s="172" t="s">
        <v>394</v>
      </c>
      <c r="E83" s="172"/>
      <c r="F83" s="172"/>
      <c r="G83" s="38">
        <f>SUM(G73:G82)</f>
        <v>237902.29</v>
      </c>
      <c r="H83" s="166"/>
      <c r="I83" s="166"/>
      <c r="J83" s="166"/>
      <c r="K83" s="166"/>
      <c r="L83" s="166"/>
      <c r="M83" s="166"/>
    </row>
    <row r="84" spans="1:13" x14ac:dyDescent="0.25">
      <c r="A84" s="148"/>
      <c r="B84" s="149"/>
      <c r="C84" s="149"/>
      <c r="D84" s="149"/>
      <c r="E84" s="149"/>
      <c r="F84" s="149"/>
      <c r="G84" s="150"/>
    </row>
    <row r="85" spans="1:13" ht="15.75" x14ac:dyDescent="0.25">
      <c r="A85" s="24" t="s">
        <v>219</v>
      </c>
      <c r="B85" s="25"/>
      <c r="C85" s="57"/>
      <c r="D85" s="27"/>
      <c r="E85" s="28"/>
      <c r="F85" s="29"/>
      <c r="G85" s="30"/>
    </row>
    <row r="86" spans="1:13" s="4" customFormat="1" ht="45" x14ac:dyDescent="0.25">
      <c r="A86" s="31" t="s">
        <v>278</v>
      </c>
      <c r="B86" s="42" t="s">
        <v>125</v>
      </c>
      <c r="C86" s="58" t="s">
        <v>126</v>
      </c>
      <c r="D86" s="32" t="s">
        <v>7</v>
      </c>
      <c r="E86" s="33">
        <v>3.76</v>
      </c>
      <c r="F86" s="40">
        <v>290.44</v>
      </c>
      <c r="G86" s="35">
        <f t="shared" ref="G86:G91" si="2">ROUND(E86*F86,2)</f>
        <v>1092.05</v>
      </c>
    </row>
    <row r="87" spans="1:13" ht="45" x14ac:dyDescent="0.25">
      <c r="A87" s="41" t="s">
        <v>279</v>
      </c>
      <c r="B87" s="42" t="s">
        <v>379</v>
      </c>
      <c r="C87" s="58" t="s">
        <v>380</v>
      </c>
      <c r="D87" s="43" t="s">
        <v>7</v>
      </c>
      <c r="E87" s="39">
        <f>(1.6*1.1*5)+(2.4*1.1*4)+(2*1.1)</f>
        <v>21.56</v>
      </c>
      <c r="F87" s="40">
        <v>100.66</v>
      </c>
      <c r="G87" s="126">
        <f t="shared" si="2"/>
        <v>2170.23</v>
      </c>
    </row>
    <row r="88" spans="1:13" ht="30" x14ac:dyDescent="0.25">
      <c r="A88" s="31" t="s">
        <v>280</v>
      </c>
      <c r="B88" s="42" t="s">
        <v>400</v>
      </c>
      <c r="C88" s="62" t="s">
        <v>402</v>
      </c>
      <c r="D88" s="32" t="s">
        <v>10</v>
      </c>
      <c r="E88" s="33">
        <v>4</v>
      </c>
      <c r="F88" s="40">
        <v>934.64</v>
      </c>
      <c r="G88" s="35">
        <f t="shared" si="2"/>
        <v>3738.56</v>
      </c>
    </row>
    <row r="89" spans="1:13" s="3" customFormat="1" ht="30" x14ac:dyDescent="0.25">
      <c r="A89" s="31" t="s">
        <v>281</v>
      </c>
      <c r="B89" s="135" t="s">
        <v>124</v>
      </c>
      <c r="C89" s="62" t="s">
        <v>339</v>
      </c>
      <c r="D89" s="32" t="s">
        <v>10</v>
      </c>
      <c r="E89" s="33">
        <v>21</v>
      </c>
      <c r="F89" s="40">
        <v>26.67</v>
      </c>
      <c r="G89" s="35">
        <f t="shared" si="2"/>
        <v>560.07000000000005</v>
      </c>
    </row>
    <row r="90" spans="1:13" s="3" customFormat="1" ht="30" x14ac:dyDescent="0.25">
      <c r="A90" s="31" t="s">
        <v>282</v>
      </c>
      <c r="B90" s="135" t="s">
        <v>121</v>
      </c>
      <c r="C90" s="63" t="s">
        <v>134</v>
      </c>
      <c r="D90" s="32" t="s">
        <v>10</v>
      </c>
      <c r="E90" s="33">
        <v>7</v>
      </c>
      <c r="F90" s="40">
        <v>329.06</v>
      </c>
      <c r="G90" s="35">
        <f t="shared" si="2"/>
        <v>2303.42</v>
      </c>
    </row>
    <row r="91" spans="1:13" ht="45" x14ac:dyDescent="0.25">
      <c r="A91" s="31" t="s">
        <v>283</v>
      </c>
      <c r="B91" s="135" t="s">
        <v>122</v>
      </c>
      <c r="C91" s="63" t="s">
        <v>123</v>
      </c>
      <c r="D91" s="32" t="s">
        <v>10</v>
      </c>
      <c r="E91" s="33">
        <v>7</v>
      </c>
      <c r="F91" s="40">
        <v>61.65</v>
      </c>
      <c r="G91" s="35">
        <f t="shared" si="2"/>
        <v>431.55</v>
      </c>
    </row>
    <row r="92" spans="1:13" ht="15.75" x14ac:dyDescent="0.25">
      <c r="A92" s="104"/>
      <c r="B92" s="105"/>
      <c r="C92" s="106"/>
      <c r="D92" s="182" t="s">
        <v>395</v>
      </c>
      <c r="E92" s="182"/>
      <c r="F92" s="182"/>
      <c r="G92" s="38">
        <f>SUM(G86:G91)</f>
        <v>10295.879999999999</v>
      </c>
    </row>
    <row r="93" spans="1:13" s="3" customFormat="1" x14ac:dyDescent="0.25">
      <c r="A93" s="148"/>
      <c r="B93" s="149"/>
      <c r="C93" s="149"/>
      <c r="D93" s="149"/>
      <c r="E93" s="149"/>
      <c r="F93" s="149"/>
      <c r="G93" s="150"/>
    </row>
    <row r="94" spans="1:13" s="3" customFormat="1" ht="15.75" x14ac:dyDescent="0.25">
      <c r="A94" s="24" t="s">
        <v>220</v>
      </c>
      <c r="B94" s="25"/>
      <c r="C94" s="57"/>
      <c r="D94" s="27"/>
      <c r="E94" s="28"/>
      <c r="F94" s="29"/>
      <c r="G94" s="30"/>
    </row>
    <row r="95" spans="1:13" s="3" customFormat="1" ht="30" x14ac:dyDescent="0.25">
      <c r="A95" s="114" t="s">
        <v>284</v>
      </c>
      <c r="B95" s="42" t="s">
        <v>196</v>
      </c>
      <c r="C95" s="55" t="s">
        <v>171</v>
      </c>
      <c r="D95" s="32" t="s">
        <v>13</v>
      </c>
      <c r="E95" s="33">
        <f>6*1.5</f>
        <v>9</v>
      </c>
      <c r="F95" s="40">
        <v>13.29</v>
      </c>
      <c r="G95" s="35">
        <f t="shared" ref="G95:G121" si="3">ROUND(E95*F95,2)</f>
        <v>119.61</v>
      </c>
    </row>
    <row r="96" spans="1:13" s="3" customFormat="1" ht="30" x14ac:dyDescent="0.25">
      <c r="A96" s="114" t="s">
        <v>285</v>
      </c>
      <c r="B96" s="42" t="s">
        <v>160</v>
      </c>
      <c r="C96" s="55" t="s">
        <v>154</v>
      </c>
      <c r="D96" s="32" t="s">
        <v>10</v>
      </c>
      <c r="E96" s="33">
        <v>2</v>
      </c>
      <c r="F96" s="40">
        <v>2014.24</v>
      </c>
      <c r="G96" s="35">
        <f t="shared" si="3"/>
        <v>4028.48</v>
      </c>
    </row>
    <row r="97" spans="1:7" s="3" customFormat="1" ht="45" x14ac:dyDescent="0.25">
      <c r="A97" s="114" t="s">
        <v>286</v>
      </c>
      <c r="B97" s="42" t="s">
        <v>156</v>
      </c>
      <c r="C97" s="55" t="s">
        <v>157</v>
      </c>
      <c r="D97" s="32" t="s">
        <v>10</v>
      </c>
      <c r="E97" s="33">
        <f>14+3</f>
        <v>17</v>
      </c>
      <c r="F97" s="40">
        <v>12.21</v>
      </c>
      <c r="G97" s="35">
        <f t="shared" si="3"/>
        <v>207.57</v>
      </c>
    </row>
    <row r="98" spans="1:7" s="3" customFormat="1" ht="45" x14ac:dyDescent="0.25">
      <c r="A98" s="114" t="s">
        <v>287</v>
      </c>
      <c r="B98" s="42" t="s">
        <v>159</v>
      </c>
      <c r="C98" s="55" t="s">
        <v>158</v>
      </c>
      <c r="D98" s="32" t="s">
        <v>10</v>
      </c>
      <c r="E98" s="33">
        <v>2</v>
      </c>
      <c r="F98" s="40">
        <v>80.06</v>
      </c>
      <c r="G98" s="35">
        <f t="shared" si="3"/>
        <v>160.12</v>
      </c>
    </row>
    <row r="99" spans="1:7" s="3" customFormat="1" ht="30" x14ac:dyDescent="0.25">
      <c r="A99" s="114" t="s">
        <v>288</v>
      </c>
      <c r="B99" s="42" t="s">
        <v>163</v>
      </c>
      <c r="C99" s="55" t="s">
        <v>164</v>
      </c>
      <c r="D99" s="32" t="s">
        <v>10</v>
      </c>
      <c r="E99" s="33">
        <f>71+E117+E116</f>
        <v>85</v>
      </c>
      <c r="F99" s="40">
        <v>104.57</v>
      </c>
      <c r="G99" s="35">
        <f t="shared" si="3"/>
        <v>8888.4500000000007</v>
      </c>
    </row>
    <row r="100" spans="1:7" s="3" customFormat="1" ht="30" x14ac:dyDescent="0.25">
      <c r="A100" s="114" t="s">
        <v>289</v>
      </c>
      <c r="B100" s="42" t="s">
        <v>185</v>
      </c>
      <c r="C100" s="55" t="s">
        <v>177</v>
      </c>
      <c r="D100" s="32" t="s">
        <v>10</v>
      </c>
      <c r="E100" s="33">
        <f>10+8</f>
        <v>18</v>
      </c>
      <c r="F100" s="40">
        <v>15.14</v>
      </c>
      <c r="G100" s="35">
        <f t="shared" si="3"/>
        <v>272.52</v>
      </c>
    </row>
    <row r="101" spans="1:7" s="3" customFormat="1" ht="30" x14ac:dyDescent="0.25">
      <c r="A101" s="114" t="s">
        <v>290</v>
      </c>
      <c r="B101" s="42" t="s">
        <v>186</v>
      </c>
      <c r="C101" s="55" t="s">
        <v>178</v>
      </c>
      <c r="D101" s="32" t="s">
        <v>13</v>
      </c>
      <c r="E101" s="33">
        <f>18*1.5</f>
        <v>27</v>
      </c>
      <c r="F101" s="40">
        <v>13.34</v>
      </c>
      <c r="G101" s="35">
        <f t="shared" si="3"/>
        <v>360.18</v>
      </c>
    </row>
    <row r="102" spans="1:7" s="3" customFormat="1" ht="30" x14ac:dyDescent="0.25">
      <c r="A102" s="114" t="s">
        <v>291</v>
      </c>
      <c r="B102" s="42" t="s">
        <v>187</v>
      </c>
      <c r="C102" s="55" t="s">
        <v>179</v>
      </c>
      <c r="D102" s="32" t="s">
        <v>10</v>
      </c>
      <c r="E102" s="33">
        <v>18</v>
      </c>
      <c r="F102" s="40">
        <v>9.18</v>
      </c>
      <c r="G102" s="35">
        <f t="shared" si="3"/>
        <v>165.24</v>
      </c>
    </row>
    <row r="103" spans="1:7" s="3" customFormat="1" ht="30" x14ac:dyDescent="0.25">
      <c r="A103" s="114" t="s">
        <v>292</v>
      </c>
      <c r="B103" s="42" t="s">
        <v>188</v>
      </c>
      <c r="C103" s="55" t="s">
        <v>180</v>
      </c>
      <c r="D103" s="32" t="s">
        <v>13</v>
      </c>
      <c r="E103" s="33">
        <v>195.5</v>
      </c>
      <c r="F103" s="40">
        <v>8.43</v>
      </c>
      <c r="G103" s="35">
        <f t="shared" si="3"/>
        <v>1648.07</v>
      </c>
    </row>
    <row r="104" spans="1:7" s="3" customFormat="1" ht="30" x14ac:dyDescent="0.25">
      <c r="A104" s="114" t="s">
        <v>293</v>
      </c>
      <c r="B104" s="42" t="s">
        <v>189</v>
      </c>
      <c r="C104" s="55" t="s">
        <v>207</v>
      </c>
      <c r="D104" s="32" t="s">
        <v>10</v>
      </c>
      <c r="E104" s="33">
        <v>18</v>
      </c>
      <c r="F104" s="40">
        <v>6.15</v>
      </c>
      <c r="G104" s="35">
        <f t="shared" si="3"/>
        <v>110.7</v>
      </c>
    </row>
    <row r="105" spans="1:7" s="3" customFormat="1" ht="30" x14ac:dyDescent="0.25">
      <c r="A105" s="114" t="s">
        <v>294</v>
      </c>
      <c r="B105" s="42" t="s">
        <v>191</v>
      </c>
      <c r="C105" s="55" t="s">
        <v>182</v>
      </c>
      <c r="D105" s="32" t="s">
        <v>10</v>
      </c>
      <c r="E105" s="33">
        <v>36</v>
      </c>
      <c r="F105" s="40">
        <v>10.46</v>
      </c>
      <c r="G105" s="35">
        <f t="shared" si="3"/>
        <v>376.56</v>
      </c>
    </row>
    <row r="106" spans="1:7" s="3" customFormat="1" ht="30" x14ac:dyDescent="0.25">
      <c r="A106" s="114" t="s">
        <v>295</v>
      </c>
      <c r="B106" s="42" t="s">
        <v>192</v>
      </c>
      <c r="C106" s="55" t="s">
        <v>183</v>
      </c>
      <c r="D106" s="32" t="s">
        <v>10</v>
      </c>
      <c r="E106" s="33">
        <v>18</v>
      </c>
      <c r="F106" s="40">
        <v>17.93</v>
      </c>
      <c r="G106" s="35">
        <f t="shared" si="3"/>
        <v>322.74</v>
      </c>
    </row>
    <row r="107" spans="1:7" s="3" customFormat="1" ht="30" x14ac:dyDescent="0.25">
      <c r="A107" s="114" t="s">
        <v>296</v>
      </c>
      <c r="B107" s="42" t="s">
        <v>193</v>
      </c>
      <c r="C107" s="55" t="s">
        <v>184</v>
      </c>
      <c r="D107" s="32" t="s">
        <v>10</v>
      </c>
      <c r="E107" s="33">
        <f>85-18</f>
        <v>67</v>
      </c>
      <c r="F107" s="40">
        <v>16.93</v>
      </c>
      <c r="G107" s="35">
        <f t="shared" si="3"/>
        <v>1134.31</v>
      </c>
    </row>
    <row r="108" spans="1:7" s="3" customFormat="1" ht="30" x14ac:dyDescent="0.25">
      <c r="A108" s="114" t="s">
        <v>297</v>
      </c>
      <c r="B108" s="42" t="s">
        <v>190</v>
      </c>
      <c r="C108" s="55" t="s">
        <v>181</v>
      </c>
      <c r="D108" s="32" t="s">
        <v>10</v>
      </c>
      <c r="E108" s="33">
        <v>2</v>
      </c>
      <c r="F108" s="40">
        <v>67.83</v>
      </c>
      <c r="G108" s="35">
        <f t="shared" si="3"/>
        <v>135.66</v>
      </c>
    </row>
    <row r="109" spans="1:7" s="3" customFormat="1" ht="30" x14ac:dyDescent="0.25">
      <c r="A109" s="114" t="s">
        <v>298</v>
      </c>
      <c r="B109" s="42" t="s">
        <v>341</v>
      </c>
      <c r="C109" s="55" t="s">
        <v>229</v>
      </c>
      <c r="D109" s="32" t="s">
        <v>13</v>
      </c>
      <c r="E109" s="33">
        <f>80</f>
        <v>80</v>
      </c>
      <c r="F109" s="40">
        <v>2.15</v>
      </c>
      <c r="G109" s="35">
        <f t="shared" si="3"/>
        <v>172</v>
      </c>
    </row>
    <row r="110" spans="1:7" s="3" customFormat="1" ht="30" x14ac:dyDescent="0.25">
      <c r="A110" s="114" t="s">
        <v>299</v>
      </c>
      <c r="B110" s="42" t="s">
        <v>203</v>
      </c>
      <c r="C110" s="55" t="s">
        <v>206</v>
      </c>
      <c r="D110" s="32" t="s">
        <v>10</v>
      </c>
      <c r="E110" s="33">
        <v>2</v>
      </c>
      <c r="F110" s="40">
        <v>210.42</v>
      </c>
      <c r="G110" s="35">
        <f t="shared" si="3"/>
        <v>420.84</v>
      </c>
    </row>
    <row r="111" spans="1:7" s="3" customFormat="1" ht="30" x14ac:dyDescent="0.25">
      <c r="A111" s="114" t="s">
        <v>300</v>
      </c>
      <c r="B111" s="42" t="s">
        <v>165</v>
      </c>
      <c r="C111" s="55" t="s">
        <v>166</v>
      </c>
      <c r="D111" s="32" t="s">
        <v>10</v>
      </c>
      <c r="E111" s="33">
        <v>1</v>
      </c>
      <c r="F111" s="40">
        <v>136.80000000000001</v>
      </c>
      <c r="G111" s="35">
        <f t="shared" si="3"/>
        <v>136.80000000000001</v>
      </c>
    </row>
    <row r="112" spans="1:7" s="3" customFormat="1" ht="30" x14ac:dyDescent="0.25">
      <c r="A112" s="114" t="s">
        <v>301</v>
      </c>
      <c r="B112" s="42" t="s">
        <v>167</v>
      </c>
      <c r="C112" s="55" t="s">
        <v>168</v>
      </c>
      <c r="D112" s="32" t="s">
        <v>10</v>
      </c>
      <c r="E112" s="33">
        <v>1</v>
      </c>
      <c r="F112" s="40">
        <v>17.850000000000001</v>
      </c>
      <c r="G112" s="35">
        <f t="shared" si="3"/>
        <v>17.850000000000001</v>
      </c>
    </row>
    <row r="113" spans="1:7" s="3" customFormat="1" ht="30" x14ac:dyDescent="0.25">
      <c r="A113" s="114" t="s">
        <v>302</v>
      </c>
      <c r="B113" s="42" t="s">
        <v>169</v>
      </c>
      <c r="C113" s="55" t="s">
        <v>170</v>
      </c>
      <c r="D113" s="32" t="s">
        <v>10</v>
      </c>
      <c r="E113" s="33">
        <v>17</v>
      </c>
      <c r="F113" s="40">
        <v>30.01</v>
      </c>
      <c r="G113" s="35">
        <f t="shared" si="3"/>
        <v>510.17</v>
      </c>
    </row>
    <row r="114" spans="1:7" s="3" customFormat="1" ht="30" x14ac:dyDescent="0.25">
      <c r="A114" s="114" t="s">
        <v>303</v>
      </c>
      <c r="B114" s="42" t="s">
        <v>194</v>
      </c>
      <c r="C114" s="55" t="s">
        <v>195</v>
      </c>
      <c r="D114" s="32" t="s">
        <v>10</v>
      </c>
      <c r="E114" s="33">
        <v>3</v>
      </c>
      <c r="F114" s="40">
        <v>32.15</v>
      </c>
      <c r="G114" s="35">
        <f t="shared" si="3"/>
        <v>96.45</v>
      </c>
    </row>
    <row r="115" spans="1:7" s="3" customFormat="1" ht="30" x14ac:dyDescent="0.25">
      <c r="A115" s="114" t="s">
        <v>304</v>
      </c>
      <c r="B115" s="42" t="s">
        <v>197</v>
      </c>
      <c r="C115" s="55" t="s">
        <v>198</v>
      </c>
      <c r="D115" s="32" t="s">
        <v>13</v>
      </c>
      <c r="E115" s="33">
        <v>60</v>
      </c>
      <c r="F115" s="40">
        <v>79.77</v>
      </c>
      <c r="G115" s="35">
        <f t="shared" si="3"/>
        <v>4786.2</v>
      </c>
    </row>
    <row r="116" spans="1:7" s="3" customFormat="1" ht="30" x14ac:dyDescent="0.25">
      <c r="A116" s="114" t="s">
        <v>305</v>
      </c>
      <c r="B116" s="42" t="s">
        <v>199</v>
      </c>
      <c r="C116" s="55" t="s">
        <v>172</v>
      </c>
      <c r="D116" s="32" t="s">
        <v>10</v>
      </c>
      <c r="E116" s="33">
        <v>4</v>
      </c>
      <c r="F116" s="40">
        <v>105.01</v>
      </c>
      <c r="G116" s="35">
        <f t="shared" si="3"/>
        <v>420.04</v>
      </c>
    </row>
    <row r="117" spans="1:7" s="3" customFormat="1" ht="30" x14ac:dyDescent="0.25">
      <c r="A117" s="114" t="s">
        <v>306</v>
      </c>
      <c r="B117" s="42" t="s">
        <v>200</v>
      </c>
      <c r="C117" s="55" t="s">
        <v>173</v>
      </c>
      <c r="D117" s="32" t="s">
        <v>10</v>
      </c>
      <c r="E117" s="33">
        <v>10</v>
      </c>
      <c r="F117" s="40">
        <v>70.400000000000006</v>
      </c>
      <c r="G117" s="35">
        <f t="shared" si="3"/>
        <v>704</v>
      </c>
    </row>
    <row r="118" spans="1:7" s="3" customFormat="1" ht="30" x14ac:dyDescent="0.25">
      <c r="A118" s="114" t="s">
        <v>307</v>
      </c>
      <c r="B118" s="42" t="s">
        <v>448</v>
      </c>
      <c r="C118" s="58" t="s">
        <v>174</v>
      </c>
      <c r="D118" s="32" t="s">
        <v>10</v>
      </c>
      <c r="E118" s="33">
        <v>46</v>
      </c>
      <c r="F118" s="40">
        <v>468.9</v>
      </c>
      <c r="G118" s="35">
        <f t="shared" si="3"/>
        <v>21569.4</v>
      </c>
    </row>
    <row r="119" spans="1:7" s="3" customFormat="1" ht="30" x14ac:dyDescent="0.25">
      <c r="A119" s="114" t="s">
        <v>308</v>
      </c>
      <c r="B119" s="42" t="s">
        <v>201</v>
      </c>
      <c r="C119" s="55" t="s">
        <v>204</v>
      </c>
      <c r="D119" s="32" t="s">
        <v>10</v>
      </c>
      <c r="E119" s="33">
        <v>4</v>
      </c>
      <c r="F119" s="40">
        <v>87.58</v>
      </c>
      <c r="G119" s="35">
        <f t="shared" si="3"/>
        <v>350.32</v>
      </c>
    </row>
    <row r="120" spans="1:7" s="12" customFormat="1" ht="30" x14ac:dyDescent="0.25">
      <c r="A120" s="114" t="s">
        <v>309</v>
      </c>
      <c r="B120" s="42" t="s">
        <v>202</v>
      </c>
      <c r="C120" s="55" t="s">
        <v>205</v>
      </c>
      <c r="D120" s="32" t="s">
        <v>10</v>
      </c>
      <c r="E120" s="33">
        <v>2</v>
      </c>
      <c r="F120" s="40">
        <v>13.22</v>
      </c>
      <c r="G120" s="35">
        <f t="shared" si="3"/>
        <v>26.44</v>
      </c>
    </row>
    <row r="121" spans="1:7" s="12" customFormat="1" ht="30" x14ac:dyDescent="0.25">
      <c r="A121" s="114" t="s">
        <v>454</v>
      </c>
      <c r="B121" s="42" t="s">
        <v>452</v>
      </c>
      <c r="C121" s="55" t="s">
        <v>453</v>
      </c>
      <c r="D121" s="32" t="s">
        <v>10</v>
      </c>
      <c r="E121" s="33">
        <v>12</v>
      </c>
      <c r="F121" s="40">
        <v>221.11</v>
      </c>
      <c r="G121" s="35">
        <f t="shared" si="3"/>
        <v>2653.32</v>
      </c>
    </row>
    <row r="122" spans="1:7" s="3" customFormat="1" ht="15.75" x14ac:dyDescent="0.25">
      <c r="A122" s="104"/>
      <c r="B122" s="105"/>
      <c r="C122" s="106"/>
      <c r="D122" s="182" t="s">
        <v>396</v>
      </c>
      <c r="E122" s="182"/>
      <c r="F122" s="182"/>
      <c r="G122" s="130">
        <f>SUM(G95:G121)</f>
        <v>49794.040000000008</v>
      </c>
    </row>
    <row r="123" spans="1:7" s="4" customFormat="1" x14ac:dyDescent="0.25">
      <c r="A123" s="148"/>
      <c r="B123" s="149"/>
      <c r="C123" s="149"/>
      <c r="D123" s="149"/>
      <c r="E123" s="149"/>
      <c r="F123" s="149"/>
      <c r="G123" s="150"/>
    </row>
    <row r="124" spans="1:7" s="4" customFormat="1" ht="15.75" x14ac:dyDescent="0.25">
      <c r="A124" s="24" t="s">
        <v>221</v>
      </c>
      <c r="B124" s="25"/>
      <c r="C124" s="57"/>
      <c r="D124" s="27"/>
      <c r="E124" s="28"/>
      <c r="F124" s="29"/>
      <c r="G124" s="30"/>
    </row>
    <row r="125" spans="1:7" s="4" customFormat="1" ht="30" x14ac:dyDescent="0.25">
      <c r="A125" s="114" t="s">
        <v>310</v>
      </c>
      <c r="B125" s="127" t="s">
        <v>401</v>
      </c>
      <c r="C125" s="62" t="s">
        <v>416</v>
      </c>
      <c r="D125" s="32" t="s">
        <v>10</v>
      </c>
      <c r="E125" s="110">
        <v>2</v>
      </c>
      <c r="F125" s="116">
        <v>269.14</v>
      </c>
      <c r="G125" s="35">
        <f t="shared" ref="G125:G139" si="4">ROUND(E125*F125,2)</f>
        <v>538.28</v>
      </c>
    </row>
    <row r="126" spans="1:7" s="4" customFormat="1" ht="30" x14ac:dyDescent="0.25">
      <c r="A126" s="114" t="s">
        <v>403</v>
      </c>
      <c r="B126" s="127" t="s">
        <v>432</v>
      </c>
      <c r="C126" s="62" t="s">
        <v>417</v>
      </c>
      <c r="D126" s="32" t="s">
        <v>429</v>
      </c>
      <c r="E126" s="110">
        <v>100</v>
      </c>
      <c r="F126" s="116">
        <v>11.06</v>
      </c>
      <c r="G126" s="35">
        <f t="shared" si="4"/>
        <v>1106</v>
      </c>
    </row>
    <row r="127" spans="1:7" s="4" customFormat="1" ht="30" x14ac:dyDescent="0.25">
      <c r="A127" s="114" t="s">
        <v>404</v>
      </c>
      <c r="B127" s="127" t="s">
        <v>433</v>
      </c>
      <c r="C127" s="62" t="s">
        <v>430</v>
      </c>
      <c r="D127" s="32" t="s">
        <v>10</v>
      </c>
      <c r="E127" s="110">
        <f>E134/0.8</f>
        <v>125</v>
      </c>
      <c r="F127" s="116">
        <v>21.86</v>
      </c>
      <c r="G127" s="35">
        <f t="shared" si="4"/>
        <v>2732.5</v>
      </c>
    </row>
    <row r="128" spans="1:7" s="4" customFormat="1" ht="30" x14ac:dyDescent="0.25">
      <c r="A128" s="114" t="s">
        <v>405</v>
      </c>
      <c r="B128" s="127" t="s">
        <v>434</v>
      </c>
      <c r="C128" s="62" t="s">
        <v>418</v>
      </c>
      <c r="D128" s="49" t="s">
        <v>13</v>
      </c>
      <c r="E128" s="110">
        <v>1000</v>
      </c>
      <c r="F128" s="116">
        <v>1.75</v>
      </c>
      <c r="G128" s="35">
        <f t="shared" si="4"/>
        <v>1750</v>
      </c>
    </row>
    <row r="129" spans="1:7" s="4" customFormat="1" ht="30" x14ac:dyDescent="0.25">
      <c r="A129" s="114" t="s">
        <v>406</v>
      </c>
      <c r="B129" s="127" t="s">
        <v>435</v>
      </c>
      <c r="C129" s="62" t="s">
        <v>419</v>
      </c>
      <c r="D129" s="32" t="s">
        <v>10</v>
      </c>
      <c r="E129" s="110">
        <v>2</v>
      </c>
      <c r="F129" s="116">
        <v>376.66</v>
      </c>
      <c r="G129" s="35">
        <f t="shared" si="4"/>
        <v>753.32</v>
      </c>
    </row>
    <row r="130" spans="1:7" s="4" customFormat="1" ht="30" x14ac:dyDescent="0.25">
      <c r="A130" s="114" t="s">
        <v>407</v>
      </c>
      <c r="B130" s="127" t="s">
        <v>436</v>
      </c>
      <c r="C130" s="62" t="s">
        <v>420</v>
      </c>
      <c r="D130" s="49" t="s">
        <v>10</v>
      </c>
      <c r="E130" s="110">
        <v>12</v>
      </c>
      <c r="F130" s="116">
        <v>250.79</v>
      </c>
      <c r="G130" s="35">
        <f t="shared" si="4"/>
        <v>3009.48</v>
      </c>
    </row>
    <row r="131" spans="1:7" s="4" customFormat="1" ht="30" x14ac:dyDescent="0.25">
      <c r="A131" s="114" t="s">
        <v>408</v>
      </c>
      <c r="B131" s="127" t="s">
        <v>437</v>
      </c>
      <c r="C131" s="62" t="s">
        <v>421</v>
      </c>
      <c r="D131" s="49" t="s">
        <v>10</v>
      </c>
      <c r="E131" s="110">
        <v>18</v>
      </c>
      <c r="F131" s="116">
        <v>123.95</v>
      </c>
      <c r="G131" s="35">
        <f t="shared" si="4"/>
        <v>2231.1</v>
      </c>
    </row>
    <row r="132" spans="1:7" s="4" customFormat="1" ht="30" x14ac:dyDescent="0.25">
      <c r="A132" s="114" t="s">
        <v>409</v>
      </c>
      <c r="B132" s="127" t="s">
        <v>438</v>
      </c>
      <c r="C132" s="62" t="s">
        <v>422</v>
      </c>
      <c r="D132" s="49" t="s">
        <v>10</v>
      </c>
      <c r="E132" s="110">
        <v>10</v>
      </c>
      <c r="F132" s="116">
        <v>153.83000000000001</v>
      </c>
      <c r="G132" s="35">
        <f t="shared" si="4"/>
        <v>1538.3</v>
      </c>
    </row>
    <row r="133" spans="1:7" s="4" customFormat="1" ht="30" x14ac:dyDescent="0.25">
      <c r="A133" s="114" t="s">
        <v>410</v>
      </c>
      <c r="B133" s="127" t="s">
        <v>439</v>
      </c>
      <c r="C133" s="62" t="s">
        <v>423</v>
      </c>
      <c r="D133" s="49" t="s">
        <v>10</v>
      </c>
      <c r="E133" s="110">
        <v>1</v>
      </c>
      <c r="F133" s="116">
        <v>869.92</v>
      </c>
      <c r="G133" s="35">
        <f t="shared" si="4"/>
        <v>869.92</v>
      </c>
    </row>
    <row r="134" spans="1:7" s="4" customFormat="1" ht="30" x14ac:dyDescent="0.25">
      <c r="A134" s="114" t="s">
        <v>411</v>
      </c>
      <c r="B134" s="127" t="s">
        <v>440</v>
      </c>
      <c r="C134" s="62" t="s">
        <v>424</v>
      </c>
      <c r="D134" s="49" t="s">
        <v>13</v>
      </c>
      <c r="E134" s="110">
        <v>100</v>
      </c>
      <c r="F134" s="116">
        <v>128.30000000000001</v>
      </c>
      <c r="G134" s="35">
        <f t="shared" si="4"/>
        <v>12830</v>
      </c>
    </row>
    <row r="135" spans="1:7" s="4" customFormat="1" ht="30" x14ac:dyDescent="0.25">
      <c r="A135" s="114" t="s">
        <v>412</v>
      </c>
      <c r="B135" s="127" t="s">
        <v>441</v>
      </c>
      <c r="C135" s="62" t="s">
        <v>425</v>
      </c>
      <c r="D135" s="49" t="s">
        <v>431</v>
      </c>
      <c r="E135" s="110">
        <v>250</v>
      </c>
      <c r="F135" s="116">
        <v>17.59</v>
      </c>
      <c r="G135" s="35">
        <f t="shared" si="4"/>
        <v>4397.5</v>
      </c>
    </row>
    <row r="136" spans="1:7" s="4" customFormat="1" ht="30" x14ac:dyDescent="0.25">
      <c r="A136" s="114" t="s">
        <v>413</v>
      </c>
      <c r="B136" s="127" t="s">
        <v>442</v>
      </c>
      <c r="C136" s="62" t="s">
        <v>426</v>
      </c>
      <c r="D136" s="49" t="s">
        <v>10</v>
      </c>
      <c r="E136" s="110">
        <v>2</v>
      </c>
      <c r="F136" s="116">
        <v>172.23</v>
      </c>
      <c r="G136" s="35">
        <f t="shared" si="4"/>
        <v>344.46</v>
      </c>
    </row>
    <row r="137" spans="1:7" s="4" customFormat="1" ht="30" x14ac:dyDescent="0.25">
      <c r="A137" s="114" t="s">
        <v>414</v>
      </c>
      <c r="B137" s="127" t="s">
        <v>443</v>
      </c>
      <c r="C137" s="62" t="s">
        <v>427</v>
      </c>
      <c r="D137" s="49" t="s">
        <v>10</v>
      </c>
      <c r="E137" s="110">
        <v>1</v>
      </c>
      <c r="F137" s="116">
        <v>1380.51</v>
      </c>
      <c r="G137" s="35">
        <f t="shared" si="4"/>
        <v>1380.51</v>
      </c>
    </row>
    <row r="138" spans="1:7" s="4" customFormat="1" ht="30" x14ac:dyDescent="0.25">
      <c r="A138" s="114" t="s">
        <v>415</v>
      </c>
      <c r="B138" s="136" t="s">
        <v>444</v>
      </c>
      <c r="C138" s="131" t="s">
        <v>428</v>
      </c>
      <c r="D138" s="49" t="s">
        <v>10</v>
      </c>
      <c r="E138" s="110">
        <v>1</v>
      </c>
      <c r="F138" s="116">
        <v>1695.96</v>
      </c>
      <c r="G138" s="35">
        <f t="shared" si="4"/>
        <v>1695.96</v>
      </c>
    </row>
    <row r="139" spans="1:7" s="4" customFormat="1" ht="30" x14ac:dyDescent="0.25">
      <c r="A139" s="114" t="s">
        <v>451</v>
      </c>
      <c r="B139" s="136" t="s">
        <v>450</v>
      </c>
      <c r="C139" s="131" t="s">
        <v>449</v>
      </c>
      <c r="D139" s="49" t="s">
        <v>10</v>
      </c>
      <c r="E139" s="110">
        <v>8</v>
      </c>
      <c r="F139" s="116">
        <v>371.23</v>
      </c>
      <c r="G139" s="35">
        <f t="shared" si="4"/>
        <v>2969.84</v>
      </c>
    </row>
    <row r="140" spans="1:7" s="4" customFormat="1" ht="15.75" x14ac:dyDescent="0.25">
      <c r="A140" s="104"/>
      <c r="B140" s="105"/>
      <c r="C140" s="106"/>
      <c r="D140" s="182" t="s">
        <v>397</v>
      </c>
      <c r="E140" s="182"/>
      <c r="F140" s="182"/>
      <c r="G140" s="130">
        <f>SUM(G125:G139)</f>
        <v>38147.17</v>
      </c>
    </row>
    <row r="141" spans="1:7" s="4" customFormat="1" x14ac:dyDescent="0.25">
      <c r="A141" s="148"/>
      <c r="B141" s="149"/>
      <c r="C141" s="149"/>
      <c r="D141" s="149"/>
      <c r="E141" s="149"/>
      <c r="F141" s="149"/>
      <c r="G141" s="150"/>
    </row>
    <row r="142" spans="1:7" s="4" customFormat="1" ht="15.75" x14ac:dyDescent="0.25">
      <c r="A142" s="24" t="s">
        <v>222</v>
      </c>
      <c r="B142" s="25"/>
      <c r="C142" s="57"/>
      <c r="D142" s="27"/>
      <c r="E142" s="28"/>
      <c r="F142" s="29"/>
      <c r="G142" s="30"/>
    </row>
    <row r="143" spans="1:7" s="4" customFormat="1" ht="30" x14ac:dyDescent="0.25">
      <c r="A143" s="112" t="s">
        <v>311</v>
      </c>
      <c r="B143" s="134" t="s">
        <v>208</v>
      </c>
      <c r="C143" s="113" t="s">
        <v>144</v>
      </c>
      <c r="D143" s="49" t="s">
        <v>7</v>
      </c>
      <c r="E143" s="39">
        <v>241.28</v>
      </c>
      <c r="F143" s="40">
        <v>4.01</v>
      </c>
      <c r="G143" s="35">
        <f t="shared" ref="G143:G159" si="5">ROUND(E143*F143,2)</f>
        <v>967.53</v>
      </c>
    </row>
    <row r="144" spans="1:7" s="4" customFormat="1" ht="30" x14ac:dyDescent="0.25">
      <c r="A144" s="112" t="s">
        <v>312</v>
      </c>
      <c r="B144" s="134" t="s">
        <v>209</v>
      </c>
      <c r="C144" s="113" t="s">
        <v>151</v>
      </c>
      <c r="D144" s="43" t="s">
        <v>10</v>
      </c>
      <c r="E144" s="39">
        <v>7</v>
      </c>
      <c r="F144" s="40">
        <v>187.75</v>
      </c>
      <c r="G144" s="35">
        <f t="shared" si="5"/>
        <v>1314.25</v>
      </c>
    </row>
    <row r="145" spans="1:7" s="4" customFormat="1" ht="30" x14ac:dyDescent="0.25">
      <c r="A145" s="112" t="s">
        <v>313</v>
      </c>
      <c r="B145" s="134" t="s">
        <v>133</v>
      </c>
      <c r="C145" s="113" t="s">
        <v>139</v>
      </c>
      <c r="D145" s="43" t="s">
        <v>10</v>
      </c>
      <c r="E145" s="39">
        <v>1</v>
      </c>
      <c r="F145" s="40">
        <v>454.45</v>
      </c>
      <c r="G145" s="35">
        <f t="shared" si="5"/>
        <v>454.45</v>
      </c>
    </row>
    <row r="146" spans="1:7" s="4" customFormat="1" ht="30" x14ac:dyDescent="0.25">
      <c r="A146" s="112" t="s">
        <v>314</v>
      </c>
      <c r="B146" s="134" t="s">
        <v>133</v>
      </c>
      <c r="C146" s="58" t="s">
        <v>140</v>
      </c>
      <c r="D146" s="43" t="s">
        <v>10</v>
      </c>
      <c r="E146" s="39">
        <v>9</v>
      </c>
      <c r="F146" s="40">
        <v>23.03</v>
      </c>
      <c r="G146" s="35">
        <f t="shared" si="5"/>
        <v>207.27</v>
      </c>
    </row>
    <row r="147" spans="1:7" s="4" customFormat="1" ht="30" x14ac:dyDescent="0.25">
      <c r="A147" s="112" t="s">
        <v>315</v>
      </c>
      <c r="B147" s="134" t="s">
        <v>210</v>
      </c>
      <c r="C147" s="42" t="s">
        <v>141</v>
      </c>
      <c r="D147" s="43" t="s">
        <v>10</v>
      </c>
      <c r="E147" s="39">
        <f>47+47+21</f>
        <v>115</v>
      </c>
      <c r="F147" s="40">
        <v>13.27</v>
      </c>
      <c r="G147" s="35">
        <f t="shared" si="5"/>
        <v>1526.05</v>
      </c>
    </row>
    <row r="148" spans="1:7" s="4" customFormat="1" ht="30" x14ac:dyDescent="0.25">
      <c r="A148" s="112" t="s">
        <v>316</v>
      </c>
      <c r="B148" s="134" t="s">
        <v>390</v>
      </c>
      <c r="C148" s="42" t="s">
        <v>145</v>
      </c>
      <c r="D148" s="43" t="s">
        <v>13</v>
      </c>
      <c r="E148" s="39">
        <v>3600</v>
      </c>
      <c r="F148" s="40">
        <v>6.17</v>
      </c>
      <c r="G148" s="35">
        <f t="shared" si="5"/>
        <v>22212</v>
      </c>
    </row>
    <row r="149" spans="1:7" s="4" customFormat="1" ht="30" x14ac:dyDescent="0.25">
      <c r="A149" s="112" t="s">
        <v>317</v>
      </c>
      <c r="B149" s="134" t="s">
        <v>211</v>
      </c>
      <c r="C149" s="42" t="s">
        <v>146</v>
      </c>
      <c r="D149" s="43" t="s">
        <v>13</v>
      </c>
      <c r="E149" s="39">
        <v>60</v>
      </c>
      <c r="F149" s="40">
        <v>5.05</v>
      </c>
      <c r="G149" s="35">
        <f t="shared" si="5"/>
        <v>303</v>
      </c>
    </row>
    <row r="150" spans="1:7" s="4" customFormat="1" ht="30" x14ac:dyDescent="0.25">
      <c r="A150" s="112" t="s">
        <v>318</v>
      </c>
      <c r="B150" s="134" t="s">
        <v>212</v>
      </c>
      <c r="C150" s="113" t="s">
        <v>142</v>
      </c>
      <c r="D150" s="43" t="s">
        <v>10</v>
      </c>
      <c r="E150" s="39">
        <v>21</v>
      </c>
      <c r="F150" s="40">
        <v>171.11</v>
      </c>
      <c r="G150" s="35">
        <f t="shared" si="5"/>
        <v>3593.31</v>
      </c>
    </row>
    <row r="151" spans="1:7" s="4" customFormat="1" ht="30" x14ac:dyDescent="0.25">
      <c r="A151" s="112" t="s">
        <v>319</v>
      </c>
      <c r="B151" s="134" t="s">
        <v>226</v>
      </c>
      <c r="C151" s="113" t="s">
        <v>225</v>
      </c>
      <c r="D151" s="43" t="s">
        <v>10</v>
      </c>
      <c r="E151" s="39">
        <f>47*2</f>
        <v>94</v>
      </c>
      <c r="F151" s="40">
        <v>116.82</v>
      </c>
      <c r="G151" s="126">
        <f t="shared" si="5"/>
        <v>10981.08</v>
      </c>
    </row>
    <row r="152" spans="1:7" s="4" customFormat="1" ht="30" x14ac:dyDescent="0.25">
      <c r="A152" s="112" t="s">
        <v>320</v>
      </c>
      <c r="B152" s="134" t="s">
        <v>133</v>
      </c>
      <c r="C152" s="113" t="s">
        <v>147</v>
      </c>
      <c r="D152" s="43" t="s">
        <v>10</v>
      </c>
      <c r="E152" s="39">
        <f>53+53</f>
        <v>106</v>
      </c>
      <c r="F152" s="40">
        <v>38.630000000000003</v>
      </c>
      <c r="G152" s="35">
        <f t="shared" si="5"/>
        <v>4094.78</v>
      </c>
    </row>
    <row r="153" spans="1:7" s="4" customFormat="1" ht="30" x14ac:dyDescent="0.25">
      <c r="A153" s="112" t="s">
        <v>321</v>
      </c>
      <c r="B153" s="134" t="s">
        <v>133</v>
      </c>
      <c r="C153" s="113" t="s">
        <v>148</v>
      </c>
      <c r="D153" s="43" t="s">
        <v>10</v>
      </c>
      <c r="E153" s="39">
        <v>21</v>
      </c>
      <c r="F153" s="40">
        <v>9.91</v>
      </c>
      <c r="G153" s="35">
        <f t="shared" si="5"/>
        <v>208.11</v>
      </c>
    </row>
    <row r="154" spans="1:7" ht="30" x14ac:dyDescent="0.25">
      <c r="A154" s="112" t="s">
        <v>322</v>
      </c>
      <c r="B154" s="134" t="s">
        <v>133</v>
      </c>
      <c r="C154" s="113" t="s">
        <v>149</v>
      </c>
      <c r="D154" s="43" t="s">
        <v>10</v>
      </c>
      <c r="E154" s="39">
        <f>78*2+21</f>
        <v>177</v>
      </c>
      <c r="F154" s="40">
        <v>28.38</v>
      </c>
      <c r="G154" s="35">
        <f t="shared" si="5"/>
        <v>5023.26</v>
      </c>
    </row>
    <row r="155" spans="1:7" ht="30" x14ac:dyDescent="0.25">
      <c r="A155" s="112" t="s">
        <v>323</v>
      </c>
      <c r="B155" s="134" t="s">
        <v>223</v>
      </c>
      <c r="C155" s="113" t="s">
        <v>143</v>
      </c>
      <c r="D155" s="43" t="s">
        <v>10</v>
      </c>
      <c r="E155" s="39">
        <v>50</v>
      </c>
      <c r="F155" s="40">
        <v>280.63</v>
      </c>
      <c r="G155" s="35">
        <f t="shared" si="5"/>
        <v>14031.5</v>
      </c>
    </row>
    <row r="156" spans="1:7" ht="30" x14ac:dyDescent="0.25">
      <c r="A156" s="112" t="s">
        <v>324</v>
      </c>
      <c r="B156" s="134" t="s">
        <v>224</v>
      </c>
      <c r="C156" s="113" t="s">
        <v>150</v>
      </c>
      <c r="D156" s="43" t="s">
        <v>10</v>
      </c>
      <c r="E156" s="39">
        <v>2</v>
      </c>
      <c r="F156" s="40">
        <v>481.44</v>
      </c>
      <c r="G156" s="35">
        <f t="shared" si="5"/>
        <v>962.88</v>
      </c>
    </row>
    <row r="157" spans="1:7" ht="30" x14ac:dyDescent="0.25">
      <c r="A157" s="112" t="s">
        <v>325</v>
      </c>
      <c r="B157" s="134" t="s">
        <v>133</v>
      </c>
      <c r="C157" s="113" t="s">
        <v>152</v>
      </c>
      <c r="D157" s="43" t="s">
        <v>10</v>
      </c>
      <c r="E157" s="39">
        <v>2</v>
      </c>
      <c r="F157" s="40">
        <v>106.33</v>
      </c>
      <c r="G157" s="35">
        <f t="shared" si="5"/>
        <v>212.66</v>
      </c>
    </row>
    <row r="158" spans="1:7" s="3" customFormat="1" ht="30" x14ac:dyDescent="0.25">
      <c r="A158" s="112" t="s">
        <v>326</v>
      </c>
      <c r="B158" s="134" t="s">
        <v>214</v>
      </c>
      <c r="C158" s="113" t="s">
        <v>213</v>
      </c>
      <c r="D158" s="32" t="s">
        <v>13</v>
      </c>
      <c r="E158" s="33">
        <v>120</v>
      </c>
      <c r="F158" s="40">
        <v>43.01</v>
      </c>
      <c r="G158" s="35">
        <f t="shared" si="5"/>
        <v>5161.2</v>
      </c>
    </row>
    <row r="159" spans="1:7" s="3" customFormat="1" ht="30" x14ac:dyDescent="0.25">
      <c r="A159" s="112" t="s">
        <v>327</v>
      </c>
      <c r="B159" s="127" t="s">
        <v>196</v>
      </c>
      <c r="C159" s="55" t="s">
        <v>171</v>
      </c>
      <c r="D159" s="32" t="s">
        <v>13</v>
      </c>
      <c r="E159" s="33">
        <f>6*1.5</f>
        <v>9</v>
      </c>
      <c r="F159" s="40">
        <v>13.29</v>
      </c>
      <c r="G159" s="35">
        <f t="shared" si="5"/>
        <v>119.61</v>
      </c>
    </row>
    <row r="160" spans="1:7" s="3" customFormat="1" ht="30" x14ac:dyDescent="0.25">
      <c r="A160" s="112" t="s">
        <v>328</v>
      </c>
      <c r="B160" s="127" t="s">
        <v>160</v>
      </c>
      <c r="C160" s="55" t="s">
        <v>154</v>
      </c>
      <c r="D160" s="32" t="s">
        <v>10</v>
      </c>
      <c r="E160" s="33">
        <v>2</v>
      </c>
      <c r="F160" s="40">
        <v>2014.24</v>
      </c>
      <c r="G160" s="35">
        <f t="shared" ref="G160:G165" si="6">ROUND(E160*F160,2)</f>
        <v>4028.48</v>
      </c>
    </row>
    <row r="161" spans="1:9" s="3" customFormat="1" ht="45" x14ac:dyDescent="0.25">
      <c r="A161" s="112" t="s">
        <v>329</v>
      </c>
      <c r="B161" s="127" t="s">
        <v>156</v>
      </c>
      <c r="C161" s="55" t="s">
        <v>157</v>
      </c>
      <c r="D161" s="32" t="s">
        <v>10</v>
      </c>
      <c r="E161" s="33">
        <f>14+3</f>
        <v>17</v>
      </c>
      <c r="F161" s="40">
        <v>12.21</v>
      </c>
      <c r="G161" s="35">
        <f t="shared" si="6"/>
        <v>207.57</v>
      </c>
    </row>
    <row r="162" spans="1:9" s="3" customFormat="1" ht="45" x14ac:dyDescent="0.25">
      <c r="A162" s="112" t="s">
        <v>330</v>
      </c>
      <c r="B162" s="127" t="s">
        <v>159</v>
      </c>
      <c r="C162" s="55" t="s">
        <v>158</v>
      </c>
      <c r="D162" s="32" t="s">
        <v>10</v>
      </c>
      <c r="E162" s="33">
        <v>2</v>
      </c>
      <c r="F162" s="40">
        <v>80.06</v>
      </c>
      <c r="G162" s="35">
        <f t="shared" si="6"/>
        <v>160.12</v>
      </c>
    </row>
    <row r="163" spans="1:9" s="3" customFormat="1" ht="30" x14ac:dyDescent="0.25">
      <c r="A163" s="112" t="s">
        <v>331</v>
      </c>
      <c r="B163" s="127" t="s">
        <v>190</v>
      </c>
      <c r="C163" s="55" t="s">
        <v>181</v>
      </c>
      <c r="D163" s="32" t="s">
        <v>10</v>
      </c>
      <c r="E163" s="33">
        <v>2</v>
      </c>
      <c r="F163" s="40">
        <v>67.83</v>
      </c>
      <c r="G163" s="35">
        <f t="shared" si="6"/>
        <v>135.66</v>
      </c>
    </row>
    <row r="164" spans="1:9" s="3" customFormat="1" ht="30" x14ac:dyDescent="0.25">
      <c r="A164" s="112" t="s">
        <v>332</v>
      </c>
      <c r="B164" s="127" t="s">
        <v>228</v>
      </c>
      <c r="C164" s="55" t="s">
        <v>227</v>
      </c>
      <c r="D164" s="32" t="s">
        <v>13</v>
      </c>
      <c r="E164" s="33">
        <f>600+250</f>
        <v>850</v>
      </c>
      <c r="F164" s="40">
        <v>2.15</v>
      </c>
      <c r="G164" s="35">
        <f t="shared" si="6"/>
        <v>1827.5</v>
      </c>
    </row>
    <row r="165" spans="1:9" ht="30" x14ac:dyDescent="0.25">
      <c r="A165" s="112" t="s">
        <v>333</v>
      </c>
      <c r="B165" s="127" t="s">
        <v>188</v>
      </c>
      <c r="C165" s="55" t="s">
        <v>180</v>
      </c>
      <c r="D165" s="32" t="s">
        <v>13</v>
      </c>
      <c r="E165" s="33">
        <v>350</v>
      </c>
      <c r="F165" s="40">
        <v>8.43</v>
      </c>
      <c r="G165" s="35">
        <f t="shared" si="6"/>
        <v>2950.5</v>
      </c>
    </row>
    <row r="166" spans="1:9" s="3" customFormat="1" ht="15.75" x14ac:dyDescent="0.25">
      <c r="A166" s="36"/>
      <c r="B166" s="37"/>
      <c r="C166" s="56"/>
      <c r="D166" s="182" t="s">
        <v>398</v>
      </c>
      <c r="E166" s="182"/>
      <c r="F166" s="182"/>
      <c r="G166" s="38">
        <f>SUM(G143:G165)</f>
        <v>80682.77</v>
      </c>
    </row>
    <row r="167" spans="1:9" x14ac:dyDescent="0.25">
      <c r="A167" s="148"/>
      <c r="B167" s="149"/>
      <c r="C167" s="149"/>
      <c r="D167" s="149"/>
      <c r="E167" s="149"/>
      <c r="F167" s="149"/>
      <c r="G167" s="150"/>
    </row>
    <row r="168" spans="1:9" s="3" customFormat="1" ht="15.75" x14ac:dyDescent="0.25">
      <c r="A168" s="24" t="s">
        <v>334</v>
      </c>
      <c r="B168" s="25"/>
      <c r="C168" s="57"/>
      <c r="D168" s="27"/>
      <c r="E168" s="28"/>
      <c r="F168" s="29"/>
      <c r="G168" s="30"/>
    </row>
    <row r="169" spans="1:9" ht="30" x14ac:dyDescent="0.25">
      <c r="A169" s="129" t="s">
        <v>335</v>
      </c>
      <c r="B169" s="134" t="s">
        <v>267</v>
      </c>
      <c r="C169" s="109" t="s">
        <v>266</v>
      </c>
      <c r="D169" s="43" t="s">
        <v>7</v>
      </c>
      <c r="E169" s="51">
        <v>933.78</v>
      </c>
      <c r="F169" s="52">
        <v>12.44</v>
      </c>
      <c r="G169" s="35">
        <f t="shared" ref="G169:G171" si="7">ROUND(E169*F169,2)</f>
        <v>11616.22</v>
      </c>
    </row>
    <row r="170" spans="1:9" s="3" customFormat="1" ht="45" x14ac:dyDescent="0.25">
      <c r="A170" s="129" t="s">
        <v>336</v>
      </c>
      <c r="B170" s="42" t="s">
        <v>130</v>
      </c>
      <c r="C170" s="58" t="s">
        <v>129</v>
      </c>
      <c r="D170" s="43" t="s">
        <v>7</v>
      </c>
      <c r="E170" s="53">
        <v>933.78</v>
      </c>
      <c r="F170" s="54">
        <v>12.43</v>
      </c>
      <c r="G170" s="35">
        <f t="shared" si="7"/>
        <v>11606.89</v>
      </c>
      <c r="I170" s="118"/>
    </row>
    <row r="171" spans="1:9" ht="30" x14ac:dyDescent="0.25">
      <c r="A171" s="129" t="s">
        <v>337</v>
      </c>
      <c r="B171" s="42" t="s">
        <v>385</v>
      </c>
      <c r="C171" s="55" t="s">
        <v>386</v>
      </c>
      <c r="D171" s="32" t="s">
        <v>13</v>
      </c>
      <c r="E171" s="33">
        <f>E79</f>
        <v>373.51</v>
      </c>
      <c r="F171" s="40">
        <v>6.99</v>
      </c>
      <c r="G171" s="35">
        <f t="shared" si="7"/>
        <v>2610.83</v>
      </c>
    </row>
    <row r="172" spans="1:9" ht="15.75" x14ac:dyDescent="0.25">
      <c r="A172" s="36"/>
      <c r="B172" s="37"/>
      <c r="C172" s="56"/>
      <c r="D172" s="182" t="s">
        <v>399</v>
      </c>
      <c r="E172" s="182"/>
      <c r="F172" s="182"/>
      <c r="G172" s="38">
        <f>SUM(G169:G171)</f>
        <v>25833.940000000002</v>
      </c>
    </row>
    <row r="173" spans="1:9" s="3" customFormat="1" x14ac:dyDescent="0.25">
      <c r="A173" s="148"/>
      <c r="B173" s="149"/>
      <c r="C173" s="149"/>
      <c r="D173" s="149"/>
      <c r="E173" s="149"/>
      <c r="F173" s="149"/>
      <c r="G173" s="150"/>
    </row>
    <row r="174" spans="1:9" ht="15.75" x14ac:dyDescent="0.25">
      <c r="A174" s="24" t="s">
        <v>391</v>
      </c>
      <c r="B174" s="25"/>
      <c r="C174" s="57"/>
      <c r="D174" s="27"/>
      <c r="E174" s="28"/>
      <c r="F174" s="29"/>
      <c r="G174" s="30"/>
    </row>
    <row r="175" spans="1:9" ht="45" x14ac:dyDescent="0.25">
      <c r="A175" s="129" t="s">
        <v>392</v>
      </c>
      <c r="B175" s="134" t="s">
        <v>133</v>
      </c>
      <c r="C175" s="109" t="s">
        <v>445</v>
      </c>
      <c r="D175" s="32" t="s">
        <v>10</v>
      </c>
      <c r="E175" s="51">
        <v>1</v>
      </c>
      <c r="F175" s="117">
        <v>79956.45</v>
      </c>
      <c r="G175" s="35">
        <f t="shared" ref="G175" si="8">ROUND(E175*F175,2)</f>
        <v>79956.45</v>
      </c>
    </row>
    <row r="176" spans="1:9" ht="15.75" x14ac:dyDescent="0.25">
      <c r="A176" s="36"/>
      <c r="B176" s="37"/>
      <c r="C176" s="56"/>
      <c r="D176" s="182" t="s">
        <v>12</v>
      </c>
      <c r="E176" s="182"/>
      <c r="F176" s="182"/>
      <c r="G176" s="38">
        <f>SUM(G175)</f>
        <v>79956.45</v>
      </c>
    </row>
    <row r="177" spans="1:9" x14ac:dyDescent="0.25">
      <c r="A177" s="148"/>
      <c r="B177" s="149"/>
      <c r="C177" s="149"/>
      <c r="D177" s="149"/>
      <c r="E177" s="149"/>
      <c r="F177" s="149"/>
      <c r="G177" s="150"/>
    </row>
    <row r="178" spans="1:9" ht="15.75" x14ac:dyDescent="0.25">
      <c r="A178" s="15"/>
      <c r="B178" s="16"/>
      <c r="C178" s="16"/>
      <c r="D178" s="189" t="s">
        <v>14</v>
      </c>
      <c r="E178" s="190"/>
      <c r="F178" s="191"/>
      <c r="G178" s="108">
        <f>G18+G22+G27+G66+G70+G83+G92+G122+G140+G166+G172+G176</f>
        <v>670484.98</v>
      </c>
    </row>
    <row r="179" spans="1:9" ht="15.75" x14ac:dyDescent="0.25">
      <c r="A179" s="13"/>
      <c r="B179" s="14"/>
      <c r="C179" s="14"/>
      <c r="D179" s="192" t="s">
        <v>15</v>
      </c>
      <c r="E179" s="193"/>
      <c r="F179" s="194"/>
      <c r="G179" s="137">
        <v>0.25</v>
      </c>
    </row>
    <row r="180" spans="1:9" x14ac:dyDescent="0.25">
      <c r="A180" s="151"/>
      <c r="B180" s="152"/>
      <c r="C180" s="152"/>
      <c r="D180" s="152"/>
      <c r="E180" s="152"/>
      <c r="F180" s="152"/>
      <c r="G180" s="153"/>
    </row>
    <row r="181" spans="1:9" ht="15.75" x14ac:dyDescent="0.25">
      <c r="A181" s="17"/>
      <c r="B181" s="18"/>
      <c r="C181" s="18"/>
      <c r="D181" s="183" t="s">
        <v>17</v>
      </c>
      <c r="E181" s="184"/>
      <c r="F181" s="185"/>
      <c r="G181" s="107">
        <f>G178*(1+G179)</f>
        <v>838106.22499999998</v>
      </c>
      <c r="I181" s="118"/>
    </row>
    <row r="182" spans="1:9" x14ac:dyDescent="0.25">
      <c r="A182" s="7"/>
      <c r="B182" s="19"/>
      <c r="C182" s="19"/>
      <c r="D182" s="20"/>
      <c r="E182" s="21"/>
      <c r="F182" s="22"/>
      <c r="G182" s="153"/>
    </row>
    <row r="183" spans="1:9" ht="47.25" customHeight="1" x14ac:dyDescent="0.25">
      <c r="A183" s="186" t="s">
        <v>131</v>
      </c>
      <c r="B183" s="187"/>
      <c r="C183" s="187"/>
      <c r="D183" s="187"/>
      <c r="E183" s="187"/>
      <c r="F183" s="187"/>
      <c r="G183" s="188"/>
    </row>
  </sheetData>
  <mergeCells count="21">
    <mergeCell ref="D122:F122"/>
    <mergeCell ref="D140:F140"/>
    <mergeCell ref="D181:F181"/>
    <mergeCell ref="A183:G183"/>
    <mergeCell ref="D27:F27"/>
    <mergeCell ref="D66:F66"/>
    <mergeCell ref="D70:F70"/>
    <mergeCell ref="D166:F166"/>
    <mergeCell ref="D176:F176"/>
    <mergeCell ref="D178:F178"/>
    <mergeCell ref="D179:F179"/>
    <mergeCell ref="D83:F83"/>
    <mergeCell ref="D92:F92"/>
    <mergeCell ref="D172:F172"/>
    <mergeCell ref="C1:F1"/>
    <mergeCell ref="C3:F3"/>
    <mergeCell ref="D18:F18"/>
    <mergeCell ref="D22:F22"/>
    <mergeCell ref="B9:G9"/>
    <mergeCell ref="C6:F7"/>
    <mergeCell ref="A8:G8"/>
  </mergeCells>
  <printOptions horizontalCentered="1"/>
  <pageMargins left="0.98425196850393704" right="0.78740157480314965" top="0.98425196850393704" bottom="0.78740157480314965" header="0.51181102362204722" footer="0.51181102362204722"/>
  <pageSetup paperSize="9" scale="67" firstPageNumber="0" fitToHeight="6" orientation="portrait" r:id="rId1"/>
  <rowBreaks count="3" manualBreakCount="3">
    <brk id="93" max="6" man="1"/>
    <brk id="129" max="6" man="1"/>
    <brk id="167"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3"/>
  <sheetViews>
    <sheetView workbookViewId="0">
      <selection activeCell="K13" sqref="K13"/>
    </sheetView>
  </sheetViews>
  <sheetFormatPr defaultRowHeight="15" x14ac:dyDescent="0.25"/>
  <sheetData>
    <row r="2" spans="1:11" x14ac:dyDescent="0.25">
      <c r="A2" s="84" t="s">
        <v>342</v>
      </c>
      <c r="B2" s="84" t="s">
        <v>343</v>
      </c>
      <c r="C2" s="85"/>
      <c r="D2" s="85"/>
      <c r="E2" s="85"/>
      <c r="F2" s="85"/>
      <c r="G2" s="85"/>
      <c r="H2" s="85"/>
      <c r="I2" s="85"/>
      <c r="J2" s="84" t="s">
        <v>2</v>
      </c>
      <c r="K2" s="85"/>
    </row>
    <row r="3" spans="1:11" x14ac:dyDescent="0.25">
      <c r="A3" s="86" t="s">
        <v>344</v>
      </c>
      <c r="B3" s="86" t="s">
        <v>1</v>
      </c>
      <c r="C3" s="85"/>
      <c r="D3" s="85"/>
      <c r="E3" s="85"/>
      <c r="F3" s="85"/>
      <c r="G3" s="86" t="s">
        <v>345</v>
      </c>
      <c r="H3" s="85"/>
      <c r="I3" s="87" t="s">
        <v>346</v>
      </c>
      <c r="J3" s="87" t="s">
        <v>347</v>
      </c>
      <c r="K3" s="88" t="s">
        <v>348</v>
      </c>
    </row>
    <row r="4" spans="1:11" x14ac:dyDescent="0.25">
      <c r="A4" s="89" t="s">
        <v>349</v>
      </c>
      <c r="B4" s="89" t="s">
        <v>350</v>
      </c>
      <c r="C4" s="85"/>
      <c r="D4" s="85"/>
      <c r="E4" s="85"/>
      <c r="F4" s="85"/>
      <c r="G4" s="89" t="s">
        <v>351</v>
      </c>
      <c r="H4" s="85"/>
      <c r="I4" s="90">
        <v>3</v>
      </c>
      <c r="J4" s="91" t="s">
        <v>352</v>
      </c>
      <c r="K4" s="90">
        <v>0.9</v>
      </c>
    </row>
    <row r="5" spans="1:11" x14ac:dyDescent="0.25">
      <c r="A5" s="89" t="s">
        <v>353</v>
      </c>
      <c r="B5" s="89" t="s">
        <v>354</v>
      </c>
      <c r="C5" s="85"/>
      <c r="D5" s="85"/>
      <c r="E5" s="85"/>
      <c r="F5" s="85"/>
      <c r="G5" s="89" t="s">
        <v>2</v>
      </c>
      <c r="H5" s="85"/>
      <c r="I5" s="90">
        <v>41.46</v>
      </c>
      <c r="J5" s="91" t="s">
        <v>355</v>
      </c>
      <c r="K5" s="90">
        <v>82.92</v>
      </c>
    </row>
    <row r="6" spans="1:11" x14ac:dyDescent="0.25">
      <c r="A6" s="89" t="s">
        <v>356</v>
      </c>
      <c r="B6" s="89" t="s">
        <v>357</v>
      </c>
      <c r="C6" s="85"/>
      <c r="D6" s="85"/>
      <c r="E6" s="85"/>
      <c r="F6" s="85"/>
      <c r="G6" s="89" t="s">
        <v>2</v>
      </c>
      <c r="H6" s="85"/>
      <c r="I6" s="90">
        <v>0.32</v>
      </c>
      <c r="J6" s="91" t="s">
        <v>358</v>
      </c>
      <c r="K6" s="90">
        <v>2.56</v>
      </c>
    </row>
    <row r="7" spans="1:11" x14ac:dyDescent="0.25">
      <c r="A7" s="89" t="s">
        <v>359</v>
      </c>
      <c r="B7" s="89" t="s">
        <v>360</v>
      </c>
      <c r="C7" s="85"/>
      <c r="D7" s="85"/>
      <c r="E7" s="85"/>
      <c r="F7" s="85"/>
      <c r="G7" s="89" t="s">
        <v>2</v>
      </c>
      <c r="H7" s="85"/>
      <c r="I7" s="90">
        <v>4.59</v>
      </c>
      <c r="J7" s="91" t="s">
        <v>358</v>
      </c>
      <c r="K7" s="90">
        <v>36.72</v>
      </c>
    </row>
    <row r="8" spans="1:11" x14ac:dyDescent="0.25">
      <c r="A8" s="89" t="s">
        <v>361</v>
      </c>
      <c r="B8" s="89" t="s">
        <v>362</v>
      </c>
      <c r="C8" s="85"/>
      <c r="D8" s="85"/>
      <c r="E8" s="85"/>
      <c r="F8" s="85"/>
      <c r="G8" s="89" t="s">
        <v>2</v>
      </c>
      <c r="H8" s="85"/>
      <c r="I8" s="90">
        <v>15.66</v>
      </c>
      <c r="J8" s="91" t="s">
        <v>363</v>
      </c>
      <c r="K8" s="90">
        <v>62.64</v>
      </c>
    </row>
    <row r="9" spans="1:11" x14ac:dyDescent="0.25">
      <c r="A9" s="119">
        <v>68420</v>
      </c>
      <c r="B9" s="120" t="s">
        <v>374</v>
      </c>
      <c r="C9" s="123"/>
      <c r="D9" s="123"/>
      <c r="E9" s="120"/>
      <c r="F9" s="120"/>
      <c r="G9" s="120" t="s">
        <v>2</v>
      </c>
      <c r="H9" s="120"/>
      <c r="I9" s="124">
        <v>224.84</v>
      </c>
      <c r="J9" s="122">
        <v>1</v>
      </c>
      <c r="K9" s="121">
        <f>224.84</f>
        <v>224.84</v>
      </c>
    </row>
    <row r="10" spans="1:11" x14ac:dyDescent="0.25">
      <c r="A10" s="89" t="s">
        <v>364</v>
      </c>
      <c r="B10" s="89" t="s">
        <v>365</v>
      </c>
      <c r="C10" s="85"/>
      <c r="D10" s="85"/>
      <c r="E10" s="85"/>
      <c r="F10" s="85"/>
      <c r="G10" s="89" t="s">
        <v>366</v>
      </c>
      <c r="H10" s="85"/>
      <c r="I10" s="90">
        <v>5.03</v>
      </c>
      <c r="J10" s="91" t="s">
        <v>367</v>
      </c>
      <c r="K10" s="90">
        <v>17.690000000000001</v>
      </c>
    </row>
    <row r="11" spans="1:11" x14ac:dyDescent="0.25">
      <c r="A11" s="89" t="s">
        <v>368</v>
      </c>
      <c r="B11" s="89" t="s">
        <v>369</v>
      </c>
      <c r="C11" s="85"/>
      <c r="D11" s="85"/>
      <c r="E11" s="85"/>
      <c r="F11" s="85"/>
      <c r="G11" s="89" t="s">
        <v>366</v>
      </c>
      <c r="H11" s="85"/>
      <c r="I11" s="90">
        <v>3.44</v>
      </c>
      <c r="J11" s="91" t="s">
        <v>370</v>
      </c>
      <c r="K11" s="90">
        <v>13.61</v>
      </c>
    </row>
    <row r="12" spans="1:11" x14ac:dyDescent="0.25">
      <c r="A12" s="85"/>
      <c r="B12" s="89" t="s">
        <v>371</v>
      </c>
      <c r="C12" s="85"/>
      <c r="D12" s="85"/>
      <c r="E12" s="85"/>
      <c r="F12" s="85"/>
      <c r="G12" s="85"/>
      <c r="H12" s="85"/>
      <c r="I12" s="90">
        <v>0</v>
      </c>
      <c r="J12" s="91" t="s">
        <v>372</v>
      </c>
      <c r="K12" s="90">
        <v>27.02</v>
      </c>
    </row>
    <row r="13" spans="1:11" x14ac:dyDescent="0.25">
      <c r="A13" s="85"/>
      <c r="B13" s="86" t="s">
        <v>373</v>
      </c>
      <c r="C13" s="85"/>
      <c r="D13" s="85"/>
      <c r="E13" s="85"/>
      <c r="F13" s="85"/>
      <c r="G13" s="85"/>
      <c r="H13" s="85"/>
      <c r="I13" s="85"/>
      <c r="J13" s="85"/>
      <c r="K13" s="92">
        <f>SUM(K4:K12)</f>
        <v>468.90000000000003</v>
      </c>
    </row>
  </sheetData>
  <pageMargins left="0.51180555555555496" right="0.51180555555555496" top="0.78749999999999998" bottom="0.78749999999999998" header="0.51180555555555496" footer="0.51180555555555496"/>
  <pageSetup paperSize="9" firstPageNumber="0"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Plan1</vt:lpstr>
      <vt:lpstr>Plan3</vt:lpstr>
      <vt:lpstr>Plan1!Area_de_impressao</vt:lpstr>
      <vt:lpstr>Print_Area_1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FERNANDA ESPECHIT COELHO</dc:creator>
  <cp:lastModifiedBy>Sebastião</cp:lastModifiedBy>
  <cp:revision>0</cp:revision>
  <cp:lastPrinted>2016-09-16T17:46:23Z</cp:lastPrinted>
  <dcterms:created xsi:type="dcterms:W3CDTF">2011-05-27T13:17:41Z</dcterms:created>
  <dcterms:modified xsi:type="dcterms:W3CDTF">2016-12-13T10:17:56Z</dcterms:modified>
</cp:coreProperties>
</file>